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et Assets_S" sheetId="1" r:id="rId1"/>
    <sheet name="RECNA_S" sheetId="2" r:id="rId2"/>
    <sheet name="Cash Flow_S" sheetId="3" r:id="rId3"/>
    <sheet name="NA by Fund_S" sheetId="4" r:id="rId4"/>
    <sheet name="RECNA by Fund_S" sheetId="5" r:id="rId5"/>
    <sheet name="RECNA-Unrest CF_S" sheetId="6" r:id="rId6"/>
    <sheet name="Oper Rev_S" sheetId="7" r:id="rId7"/>
    <sheet name="Oper Exp by Object_S" sheetId="8" r:id="rId8"/>
    <sheet name="Aux &amp; Serv Op_S" sheetId="9" r:id="rId9"/>
    <sheet name="RECNA-Sel Aux Op_S" sheetId="10" r:id="rId10"/>
    <sheet name="Loan Funds_S" sheetId="11" r:id="rId11"/>
    <sheet name="Endow &amp; Similar_S" sheetId="12" r:id="rId12"/>
    <sheet name="Res &amp; Unrest Plant_S" sheetId="13" r:id="rId13"/>
    <sheet name="Invest in Plant_S" sheetId="14" r:id="rId14"/>
    <sheet name="Bonds &amp; Notes_S" sheetId="15" r:id="rId15"/>
    <sheet name="Funds Held for Others_S" sheetId="16" r:id="rId16"/>
  </sheets>
  <definedNames>
    <definedName name="ABC">'Res &amp; Unrest Plant_S'!#REF!</definedName>
    <definedName name="ASD" localSheetId="11">'Endow &amp; Similar_S'!$Q$4</definedName>
    <definedName name="ASD" localSheetId="15">'Funds Held for Others_S'!$I$5</definedName>
    <definedName name="ASD" localSheetId="10">'Loan Funds_S'!$O$4</definedName>
    <definedName name="ASD" localSheetId="12">'Res &amp; Unrest Plant_S'!$O$4</definedName>
    <definedName name="ASD">'Oper Exp by Object_S'!$M$4</definedName>
    <definedName name="AsofDate">'Funds Held for Others_S'!$V$5</definedName>
    <definedName name="ASSD" localSheetId="11">'Endow &amp; Similar_S'!$Q$4</definedName>
    <definedName name="ASSD">'Loan Funds_S'!$O$4</definedName>
    <definedName name="NvsASD" localSheetId="8">"V2004-06-30"</definedName>
    <definedName name="NvsASD" localSheetId="11">"V2004-06-30"</definedName>
    <definedName name="NvsASD" localSheetId="15">"V2004-06-30"</definedName>
    <definedName name="NvsASD" localSheetId="13">"V2004-06-30"</definedName>
    <definedName name="NvsASD" localSheetId="10">"V2004-06-30"</definedName>
    <definedName name="NvsASD" localSheetId="3">"V2004-06-30"</definedName>
    <definedName name="NvsASD" localSheetId="7">"V2004-06-30"</definedName>
    <definedName name="NvsASD" localSheetId="6">"V2004-06-30"</definedName>
    <definedName name="NvsASD" localSheetId="4">"V2004-06-30"</definedName>
    <definedName name="NvsASD" localSheetId="9">"V2004-06-30"</definedName>
    <definedName name="NvsASD" localSheetId="5">"V2004-06-30"</definedName>
    <definedName name="NvsASD" localSheetId="12">"V2004-06-30"</definedName>
    <definedName name="NvsASD">"V2002-06-30"</definedName>
    <definedName name="NvsAutoDrillOk" localSheetId="8">"VN"</definedName>
    <definedName name="NvsAutoDrillOk" localSheetId="11">"VN"</definedName>
    <definedName name="NvsAutoDrillOk" localSheetId="10">"VN"</definedName>
    <definedName name="NvsAutoDrillOk" localSheetId="9">"VN"</definedName>
    <definedName name="NvsAutoDrillOk" localSheetId="12">"VN"</definedName>
    <definedName name="NvsAutoDrillOk">"VY"</definedName>
    <definedName name="NvsElapsedTime" localSheetId="8">0.0000650462970952503</definedName>
    <definedName name="NvsElapsedTime" localSheetId="11">0.0010287037002854</definedName>
    <definedName name="NvsElapsedTime" localSheetId="15">0.000302893517073244</definedName>
    <definedName name="NvsElapsedTime" localSheetId="13">0.00483321759384125</definedName>
    <definedName name="NvsElapsedTime" localSheetId="10">0.0000849537100293674</definedName>
    <definedName name="NvsElapsedTime" localSheetId="3">0.000100925928563811</definedName>
    <definedName name="NvsElapsedTime" localSheetId="7">0.00319085647788597</definedName>
    <definedName name="NvsElapsedTime" localSheetId="6">0.000103356484032702</definedName>
    <definedName name="NvsElapsedTime" localSheetId="4">0.000195370368601289</definedName>
    <definedName name="NvsElapsedTime" localSheetId="9">0.0000254629630944692</definedName>
    <definedName name="NvsElapsedTime" localSheetId="5">0.000353240735421423</definedName>
    <definedName name="NvsElapsedTime" localSheetId="12">0.000103587961348239</definedName>
    <definedName name="NvsElapsedTime">0.0269587962975493</definedName>
    <definedName name="NvsEndTime" localSheetId="8">38267.2474930556</definedName>
    <definedName name="NvsEndTime" localSheetId="11">38267.2590137731</definedName>
    <definedName name="NvsEndTime" localSheetId="15">38259.3379519676</definedName>
    <definedName name="NvsEndTime" localSheetId="13">38209.7285928241</definedName>
    <definedName name="NvsEndTime" localSheetId="10">38267.2482767361</definedName>
    <definedName name="NvsEndTime" localSheetId="3">38267.1944690972</definedName>
    <definedName name="NvsEndTime" localSheetId="7">38267.2361847222</definedName>
    <definedName name="NvsEndTime" localSheetId="6">38259.3297606482</definedName>
    <definedName name="NvsEndTime" localSheetId="4">38267.1912162037</definedName>
    <definedName name="NvsEndTime" localSheetId="9">38267.1967883102</definedName>
    <definedName name="NvsEndTime" localSheetId="5">38267.2003731481</definedName>
    <definedName name="NvsEndTime" localSheetId="12">38267.1965108796</definedName>
    <definedName name="NvsEndTime">37456.430659375</definedName>
    <definedName name="NvsInstSpec">"%"</definedName>
    <definedName name="NvsLayoutType">"M3"</definedName>
    <definedName name="NvsNplSpec">"%,X,RZF..,CZF.."</definedName>
    <definedName name="NvsPanelEffdt" localSheetId="8">"V2025-12-31"</definedName>
    <definedName name="NvsPanelEffdt" localSheetId="11">"V2025-12-31"</definedName>
    <definedName name="NvsPanelEffdt" localSheetId="15">"V2000-07-31"</definedName>
    <definedName name="NvsPanelEffdt" localSheetId="13">"V2099-01-01"</definedName>
    <definedName name="NvsPanelEffdt" localSheetId="10">"V2025-12-31"</definedName>
    <definedName name="NvsPanelEffdt" localSheetId="3">"V2099-01-01"</definedName>
    <definedName name="NvsPanelEffdt" localSheetId="7">"V2025-12-31"</definedName>
    <definedName name="NvsPanelEffdt" localSheetId="6">"V2099-07-01"</definedName>
    <definedName name="NvsPanelEffdt" localSheetId="4">"V2099-01-01"</definedName>
    <definedName name="NvsPanelEffdt" localSheetId="9">"V2000-07-01"</definedName>
    <definedName name="NvsPanelEffdt" localSheetId="5">"V2099-01-01"</definedName>
    <definedName name="NvsPanelEffdt" localSheetId="12">"V2099-01-01"</definedName>
    <definedName name="NvsPanelEffdt">"V1900-01-01"</definedName>
    <definedName name="NvsPanelSetid">"VUOFMO"</definedName>
    <definedName name="NvsReqBU" localSheetId="8">"VSTLOU"</definedName>
    <definedName name="NvsReqBU" localSheetId="11">"VSTLOU"</definedName>
    <definedName name="NvsReqBU" localSheetId="15">"VSTLOU"</definedName>
    <definedName name="NvsReqBU" localSheetId="13">"VSTLOU"</definedName>
    <definedName name="NvsReqBU" localSheetId="10">"VSTLOU"</definedName>
    <definedName name="NvsReqBU" localSheetId="3">"VSTLOU"</definedName>
    <definedName name="NvsReqBU" localSheetId="7">"VSTLOU"</definedName>
    <definedName name="NvsReqBU" localSheetId="6">"VSTLOU"</definedName>
    <definedName name="NvsReqBU" localSheetId="4">"VSTLOU"</definedName>
    <definedName name="NvsReqBU" localSheetId="9">"VSTLOU"</definedName>
    <definedName name="NvsReqBU" localSheetId="5">"VSTLOU"</definedName>
    <definedName name="NvsReqBU" localSheetId="12">"VSTLOU"</definedName>
    <definedName name="NvsReqBU">"VKCITY"</definedName>
    <definedName name="NvsReqBUOnly">"VY"</definedName>
    <definedName name="NvsSheetType" localSheetId="8">"M"</definedName>
    <definedName name="NvsSheetType" localSheetId="11">"M"</definedName>
    <definedName name="NvsSheetType" localSheetId="15">"M"</definedName>
    <definedName name="NvsSheetType" localSheetId="13">"M"</definedName>
    <definedName name="NvsSheetType" localSheetId="10">"M"</definedName>
    <definedName name="NvsSheetType" localSheetId="3">"M"</definedName>
    <definedName name="NvsSheetType" localSheetId="7">"M"</definedName>
    <definedName name="NvsSheetType" localSheetId="6">"M"</definedName>
    <definedName name="NvsSheetType" localSheetId="4">"M"</definedName>
    <definedName name="NvsSheetType" localSheetId="9">"M"</definedName>
    <definedName name="NvsSheetType" localSheetId="5">"M"</definedName>
    <definedName name="NvsSheetType" localSheetId="12">"M"</definedName>
    <definedName name="NvsTransLed">"VN"</definedName>
    <definedName name="NvsTree.GASB_34_35" localSheetId="6">"YNNYN"</definedName>
    <definedName name="NvsTree.GASB_34_35_FUND" localSheetId="15">"YNNYN"</definedName>
    <definedName name="NvsTree.GASB_34_35_FUND" localSheetId="6">"YNNYN"</definedName>
    <definedName name="NvsTree.GASB_34_35_FUND" localSheetId="4">"YNNYN"</definedName>
    <definedName name="NvsTree.GASB_34_35_FUND" localSheetId="5">"YNNYN"</definedName>
    <definedName name="NvsTreeASD" localSheetId="8">"V2004-06-30"</definedName>
    <definedName name="NvsTreeASD" localSheetId="11">"V2004-06-30"</definedName>
    <definedName name="NvsTreeASD" localSheetId="15">"V2004-06-30"</definedName>
    <definedName name="NvsTreeASD" localSheetId="13">"V2004-06-30"</definedName>
    <definedName name="NvsTreeASD" localSheetId="10">"V2004-06-30"</definedName>
    <definedName name="NvsTreeASD" localSheetId="3">"V2004-06-30"</definedName>
    <definedName name="NvsTreeASD" localSheetId="7">"V2004-06-30"</definedName>
    <definedName name="NvsTreeASD" localSheetId="6">"V2004-06-30"</definedName>
    <definedName name="NvsTreeASD" localSheetId="4">"V2004-06-30"</definedName>
    <definedName name="NvsTreeASD" localSheetId="9">"V2004-06-30"</definedName>
    <definedName name="NvsTreeASD" localSheetId="5">"V2004-06-30"</definedName>
    <definedName name="NvsTreeASD" localSheetId="12">"V2004-06-30"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8">'Aux &amp; Serv Op_S'!$A$1:$H$40</definedName>
    <definedName name="_xlnm.Print_Area" localSheetId="14">'Bonds &amp; Notes_S'!$A$1:$G$43</definedName>
    <definedName name="_xlnm.Print_Area" localSheetId="11">'Endow &amp; Similar_S'!$A$2:$L$288</definedName>
    <definedName name="_xlnm.Print_Area" localSheetId="15">'Funds Held for Others_S'!$B:$G</definedName>
    <definedName name="_xlnm.Print_Area" localSheetId="10">'Loan Funds_S'!$A$2:$L$35</definedName>
    <definedName name="_xlnm.Print_Area" localSheetId="3">'NA by Fund_S'!$B$2:$W$136</definedName>
    <definedName name="_xlnm.Print_Area" localSheetId="7">'Oper Exp by Object_S'!$B$2:$H$55</definedName>
    <definedName name="_xlnm.Print_Area" localSheetId="6">'Oper Rev_S'!$B$2:$I$68</definedName>
    <definedName name="_xlnm.Print_Area" localSheetId="4">'RECNA by Fund_S'!$A$1:$V$387</definedName>
    <definedName name="_xlnm.Print_Area" localSheetId="1">'RECNA_S'!$A$1:$E$63</definedName>
    <definedName name="_xlnm.Print_Area" localSheetId="12">'Res &amp; Unrest Plant_S'!$A$2:$L$35</definedName>
    <definedName name="_xlnm.Print_Titles" localSheetId="8">'Aux &amp; Serv Op_S'!$2:$6</definedName>
    <definedName name="_xlnm.Print_Titles" localSheetId="11">'Endow &amp; Similar_S'!$2:$6</definedName>
    <definedName name="_xlnm.Print_Titles" localSheetId="15">'Funds Held for Others_S'!$2:$6</definedName>
    <definedName name="_xlnm.Print_Titles" localSheetId="13">'Invest in Plant_S'!$2:$8</definedName>
    <definedName name="_xlnm.Print_Titles" localSheetId="10">'Loan Funds_S'!$2:$6</definedName>
    <definedName name="_xlnm.Print_Titles" localSheetId="3">'NA by Fund_S'!$2:$10</definedName>
    <definedName name="_xlnm.Print_Titles" localSheetId="6">'Oper Rev_S'!$2:$8</definedName>
    <definedName name="_xlnm.Print_Titles" localSheetId="4">'RECNA by Fund_S'!$2:$10</definedName>
    <definedName name="_xlnm.Print_Titles" localSheetId="5">'RECNA-Unrest CF_S'!$2:$8</definedName>
    <definedName name="_xlnm.Print_Titles" localSheetId="12">'Res &amp; Unrest Plant_S'!$2:$7</definedName>
    <definedName name="RBN" localSheetId="8">'Aux &amp; Serv Op_S'!$J$2</definedName>
    <definedName name="RBN" localSheetId="11">'Endow &amp; Similar_S'!$N$2</definedName>
    <definedName name="RBN" localSheetId="15">'Funds Held for Others_S'!$I$2</definedName>
    <definedName name="RBN" localSheetId="13">'Invest in Plant_S'!$N$4</definedName>
    <definedName name="RBN" localSheetId="10">'Loan Funds_S'!$N$2</definedName>
    <definedName name="RBN" localSheetId="7">'Oper Exp by Object_S'!$R$2</definedName>
    <definedName name="RBN" localSheetId="6">'Oper Rev_S'!$L$2</definedName>
    <definedName name="RBN" localSheetId="4">'RECNA by Fund_S'!$AE$2</definedName>
    <definedName name="RBN" localSheetId="5">'RECNA-Unrest CF_S'!$W$3</definedName>
    <definedName name="RBN" localSheetId="12">'Res &amp; Unrest Plant_S'!$O$2</definedName>
    <definedName name="RBN">'NA by Fund_S'!$AC$4</definedName>
    <definedName name="RBU" localSheetId="8">'Aux &amp; Serv Op_S'!$M$2</definedName>
    <definedName name="RBU" localSheetId="11">'Endow &amp; Similar_S'!$Q$2</definedName>
    <definedName name="RBU" localSheetId="10">'Loan Funds_S'!$O$2</definedName>
    <definedName name="RBU" localSheetId="12">'Res &amp; Unrest Plant_S'!$O$2</definedName>
    <definedName name="RBU">'Oper Exp by Object_S'!$M$2</definedName>
    <definedName name="RID" localSheetId="11">'Endow &amp; Similar_S'!$Q$3</definedName>
    <definedName name="RID" localSheetId="10">'Loan Funds_S'!$O$3</definedName>
    <definedName name="RID" localSheetId="12">'Res &amp; Unrest Plant_S'!$O$3</definedName>
    <definedName name="RID">'Oper Exp by Object_S'!$M$3</definedName>
  </definedNames>
  <calcPr fullCalcOnLoad="1"/>
</workbook>
</file>

<file path=xl/sharedStrings.xml><?xml version="1.0" encoding="utf-8"?>
<sst xmlns="http://schemas.openxmlformats.org/spreadsheetml/2006/main" count="4310" uniqueCount="2754">
  <si>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</si>
  <si>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</si>
  <si>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</si>
  <si>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</si>
  <si>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</si>
  <si>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PGASB15S</t>
  </si>
  <si>
    <t>Program</t>
  </si>
  <si>
    <t xml:space="preserve">
Balance</t>
  </si>
  <si>
    <t>State
Appropriations
and State</t>
  </si>
  <si>
    <t>Gifts and</t>
  </si>
  <si>
    <t>Investment &amp;</t>
  </si>
  <si>
    <t>Bond</t>
  </si>
  <si>
    <t>Transfers In</t>
  </si>
  <si>
    <t>Balance</t>
  </si>
  <si>
    <t>Code</t>
  </si>
  <si>
    <t>Bond Funds</t>
  </si>
  <si>
    <t>Grants</t>
  </si>
  <si>
    <t>Other Income</t>
  </si>
  <si>
    <t>Proceeds</t>
  </si>
  <si>
    <t>(Out)</t>
  </si>
  <si>
    <t>RESTRICTED:</t>
  </si>
  <si>
    <t>%,VS4392</t>
  </si>
  <si>
    <t>SENIOR CLASS GIFTS</t>
  </si>
  <si>
    <t>S4392</t>
  </si>
  <si>
    <t>%,VS8105</t>
  </si>
  <si>
    <t>FY1999 ST CAP APPR-COMM ARTS</t>
  </si>
  <si>
    <t>S8105</t>
  </si>
  <si>
    <t>%,VS8304</t>
  </si>
  <si>
    <t>BONDS - 2001 - EAST GARAGE</t>
  </si>
  <si>
    <t>S8304</t>
  </si>
  <si>
    <t>%,VS8305</t>
  </si>
  <si>
    <t>BONDS - 2001 - NORTH GARAGE</t>
  </si>
  <si>
    <t>S8305</t>
  </si>
  <si>
    <t>%,VS8308</t>
  </si>
  <si>
    <t>BONDS-2003-EAST GARAGE PHASE 2</t>
  </si>
  <si>
    <t>S8308</t>
  </si>
  <si>
    <t>%,VS8500</t>
  </si>
  <si>
    <t>AQUATIC CENTER GIFTS</t>
  </si>
  <si>
    <t>S8500</t>
  </si>
  <si>
    <t>%,VS8501</t>
  </si>
  <si>
    <t>AB GREENHOUSE - GIFTS</t>
  </si>
  <si>
    <t>S8501</t>
  </si>
  <si>
    <t>%,VS8503</t>
  </si>
  <si>
    <t>LIBRARY GIFTS</t>
  </si>
  <si>
    <t>S8503</t>
  </si>
  <si>
    <t>%,VS8504</t>
  </si>
  <si>
    <t>BUSINESS ADMINISTRATION GIFTS</t>
  </si>
  <si>
    <t>S8504</t>
  </si>
  <si>
    <t>%,VS8505</t>
  </si>
  <si>
    <t>KWMU CAPITAL CAMPAIGN</t>
  </si>
  <si>
    <t>S8505</t>
  </si>
  <si>
    <t>%,VS8701</t>
  </si>
  <si>
    <t>RESTRICTED - CAMPUS FUNDS</t>
  </si>
  <si>
    <t>S8701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</si>
  <si>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</si>
  <si>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</si>
  <si>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</si>
  <si>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</si>
  <si>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</si>
  <si>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</si>
  <si>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%,VS8106</t>
  </si>
  <si>
    <t>FY2000 ST CAP APPR-BH/SH RENOV</t>
  </si>
  <si>
    <t>S8106</t>
  </si>
  <si>
    <t>%,VS8600</t>
  </si>
  <si>
    <t>CAPITAL POOL</t>
  </si>
  <si>
    <t>S8600</t>
  </si>
  <si>
    <t>%,VS8607</t>
  </si>
  <si>
    <t>UNIV CTR - BUILDING RESERVES</t>
  </si>
  <si>
    <t>S8607</t>
  </si>
  <si>
    <t>%,VS8608</t>
  </si>
  <si>
    <t>ATHLETIC RESERVES</t>
  </si>
  <si>
    <t>S8608</t>
  </si>
  <si>
    <t>%,VS8609</t>
  </si>
  <si>
    <t>PARKING RESERVES</t>
  </si>
  <si>
    <t>S8609</t>
  </si>
  <si>
    <t>%,VS8611</t>
  </si>
  <si>
    <t>HOUSING RESERVES</t>
  </si>
  <si>
    <t>S8611</t>
  </si>
  <si>
    <t>%,VS8614</t>
  </si>
  <si>
    <t>MARK TWAIN FACILITY RESERVE</t>
  </si>
  <si>
    <t>S8614</t>
  </si>
  <si>
    <t>%,VS8700</t>
  </si>
  <si>
    <t>UNRESTRICTED, CAMPUS FUNDS</t>
  </si>
  <si>
    <t>S8700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</si>
  <si>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</si>
  <si>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</si>
  <si>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</si>
  <si>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</si>
  <si>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</si>
  <si>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2002</t>
  </si>
  <si>
    <t>July 1, 2003</t>
  </si>
  <si>
    <t>Additions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</si>
  <si>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</si>
  <si>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</si>
  <si>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</si>
  <si>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</si>
  <si>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</si>
  <si>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</si>
  <si>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</si>
  <si>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</si>
  <si>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</si>
  <si>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</si>
  <si>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</si>
  <si>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</si>
  <si>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</si>
  <si>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</si>
  <si>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</si>
  <si>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 xml:space="preserve">Operating Income (Loss) before State Appropriations </t>
  </si>
  <si>
    <t xml:space="preserve">   and Nonoperating Revenues (Expenses)</t>
  </si>
  <si>
    <t xml:space="preserve">Operating Income (Loss) after State Appropriations, </t>
  </si>
  <si>
    <t xml:space="preserve">   before Nonoperating Revenues (Expenses)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</si>
  <si>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</si>
  <si>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</si>
  <si>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</si>
  <si>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</si>
  <si>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</si>
  <si>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</si>
  <si>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</si>
  <si>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</si>
  <si>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</si>
  <si>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</si>
  <si>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</si>
  <si>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</si>
  <si>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</si>
  <si>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</si>
  <si>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</si>
  <si>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</si>
  <si>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</si>
  <si>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Endow Income-Spec Instructions</t>
  </si>
  <si>
    <t>470600</t>
  </si>
  <si>
    <t>%,V470700</t>
  </si>
  <si>
    <t>Endow Income-Pooled Income Fnd</t>
  </si>
  <si>
    <t>470700</t>
  </si>
  <si>
    <t>%,V475000</t>
  </si>
  <si>
    <t>Investment income</t>
  </si>
  <si>
    <t>475000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</si>
  <si>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</si>
  <si>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</si>
  <si>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</si>
  <si>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</si>
  <si>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</si>
  <si>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</si>
  <si>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</si>
  <si>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</si>
  <si>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</si>
  <si>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</si>
  <si>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</si>
  <si>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</si>
  <si>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</si>
  <si>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</si>
  <si>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</si>
  <si>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</si>
  <si>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</si>
  <si>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</si>
  <si>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</si>
  <si>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</si>
  <si>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</si>
  <si>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</si>
  <si>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</si>
  <si>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</si>
  <si>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</si>
  <si>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</si>
  <si>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</si>
  <si>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</si>
  <si>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</si>
  <si>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</si>
  <si>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</si>
  <si>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</si>
  <si>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</si>
  <si>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</si>
  <si>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 xml:space="preserve">    Net Nonoperating Revenues (Expenses) before </t>
  </si>
  <si>
    <t>Capital Gifts</t>
  </si>
  <si>
    <t>Capital Grants</t>
  </si>
  <si>
    <t xml:space="preserve">    Net Other Nonoperating Revenues (Expenses) before Transfers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</si>
  <si>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</si>
  <si>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</si>
  <si>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</si>
  <si>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</si>
  <si>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</si>
  <si>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</si>
  <si>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</si>
  <si>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</si>
  <si>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</si>
  <si>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</si>
  <si>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</si>
  <si>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</si>
  <si>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</si>
  <si>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</si>
  <si>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</si>
  <si>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</si>
  <si>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</si>
  <si>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</si>
  <si>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</si>
  <si>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</si>
  <si>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</si>
  <si>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</si>
  <si>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</si>
  <si>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</si>
  <si>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</si>
  <si>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</si>
  <si>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</si>
  <si>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</si>
  <si>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</si>
  <si>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</si>
  <si>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</si>
  <si>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</si>
  <si>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</si>
  <si>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</si>
  <si>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</si>
  <si>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</si>
  <si>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</si>
  <si>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</si>
  <si>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Deposits</t>
  </si>
  <si>
    <t>Withdrawals</t>
  </si>
  <si>
    <t>Balance
June 30, 2004</t>
  </si>
  <si>
    <t>%,VS0502023</t>
  </si>
  <si>
    <t>MICROFILMING FEES FOR THESES</t>
  </si>
  <si>
    <t>S0502023</t>
  </si>
  <si>
    <t>%,VS0805005</t>
  </si>
  <si>
    <t>MERCANTILE LIBRARY PCS 41</t>
  </si>
  <si>
    <t>S0805005</t>
  </si>
  <si>
    <t>%,VS0805008</t>
  </si>
  <si>
    <t>STL MERC LIBRARY ASSOC MISC</t>
  </si>
  <si>
    <t>S0805008</t>
  </si>
  <si>
    <t>%,VS0904077</t>
  </si>
  <si>
    <t>MISCELLANEOUS INCOME</t>
  </si>
  <si>
    <t>S0904077</t>
  </si>
  <si>
    <t>%,VS1505018</t>
  </si>
  <si>
    <t>MO HIGHER ED SCHLP PROGRAM</t>
  </si>
  <si>
    <t>S1505018</t>
  </si>
  <si>
    <t>%,VS1505019</t>
  </si>
  <si>
    <t>MO STUDENT GRANT PROGRAM</t>
  </si>
  <si>
    <t>S1505019</t>
  </si>
  <si>
    <t>%,VS1505020</t>
  </si>
  <si>
    <t>BARNES NURSING AUXILIARY SCHLP</t>
  </si>
  <si>
    <t>S1505020</t>
  </si>
  <si>
    <t>%,VS1505021</t>
  </si>
  <si>
    <t>MISSOURI BRIDGE SCHLP PROGRAM</t>
  </si>
  <si>
    <t>S1505021</t>
  </si>
  <si>
    <t>%,VS1505022</t>
  </si>
  <si>
    <t>ADVANTAGE MISSOURI LOAN PROG</t>
  </si>
  <si>
    <t>S1505022</t>
  </si>
  <si>
    <t>%,VS1505023</t>
  </si>
  <si>
    <t>M ROSS BARNETT MEMORIAL SCHLP</t>
  </si>
  <si>
    <t>S1505023</t>
  </si>
  <si>
    <t>%,VS1505024</t>
  </si>
  <si>
    <t>MO COLLEGE GUARANTEE SCHLP</t>
  </si>
  <si>
    <t>S1505024</t>
  </si>
  <si>
    <t>%,VS1505036</t>
  </si>
  <si>
    <t>FEDERAL DIRECT UNSUBSIDIZED LO</t>
  </si>
  <si>
    <t>S1505036</t>
  </si>
  <si>
    <t>%,VS1505045</t>
  </si>
  <si>
    <t>MISSOURI STATE SCHOLARSHIPS</t>
  </si>
  <si>
    <t>S1505045</t>
  </si>
  <si>
    <t>%,VS1505048</t>
  </si>
  <si>
    <t>DL UNSUBSIDIZED LOAN 2001-2002</t>
  </si>
  <si>
    <t>S1505048</t>
  </si>
  <si>
    <t>%,VS1505049</t>
  </si>
  <si>
    <t>DL SUBSIDIZED LOAN 2001-2002</t>
  </si>
  <si>
    <t>S1505049</t>
  </si>
  <si>
    <t>%,VS1505050</t>
  </si>
  <si>
    <t>MOHELA STUDENT LOANS</t>
  </si>
  <si>
    <t>S1505050</t>
  </si>
  <si>
    <t>%,VS1505051</t>
  </si>
  <si>
    <t>DL SUBSIDIZED LOAN 2002-2003</t>
  </si>
  <si>
    <t>S1505051</t>
  </si>
  <si>
    <t>%,VS1505052</t>
  </si>
  <si>
    <t>DL UNSUBSIDIZED LOAN 2002-2003</t>
  </si>
  <si>
    <t>S1505052</t>
  </si>
  <si>
    <t>%,VS1505053</t>
  </si>
  <si>
    <t>FFELP PLUS LOAN 2002-2003</t>
  </si>
  <si>
    <t>S1505053</t>
  </si>
  <si>
    <t>%,VS1505054</t>
  </si>
  <si>
    <t>CITIBANK ALTERNATIVE LOANS</t>
  </si>
  <si>
    <t>S1505054</t>
  </si>
  <si>
    <t>%,VS1505055</t>
  </si>
  <si>
    <t>SALLIE MAE ALTERNATIVE LOANS</t>
  </si>
  <si>
    <t>S1505055</t>
  </si>
  <si>
    <t>%,VS1505056</t>
  </si>
  <si>
    <t>NELLIE MAE ALTERNATIVE LOAN FD</t>
  </si>
  <si>
    <t>S1505056</t>
  </si>
  <si>
    <t>%,VS1505057</t>
  </si>
  <si>
    <t>AMERICORP EDUCATIONAL BENEFITS</t>
  </si>
  <si>
    <t>S1505057</t>
  </si>
  <si>
    <t>%,VS1505058</t>
  </si>
  <si>
    <t>FFELP PLUS LOAN 2003-3004</t>
  </si>
  <si>
    <t>S1505058</t>
  </si>
  <si>
    <t>%,VS1505059</t>
  </si>
  <si>
    <t>FFEL SUBSIDIZED LOAN 2003-2004</t>
  </si>
  <si>
    <t>S1505059</t>
  </si>
  <si>
    <t>%,VS1505060</t>
  </si>
  <si>
    <t>FFEL UNSUBSIDIZED LOAN 2003-04</t>
  </si>
  <si>
    <t>S1505060</t>
  </si>
  <si>
    <t>%,VS1605029</t>
  </si>
  <si>
    <t>ARTS &amp; EDUC COUNCIL FUNDRAISER</t>
  </si>
  <si>
    <t>S1605029</t>
  </si>
  <si>
    <t>%,VS1803036</t>
  </si>
  <si>
    <t>ATHLETIC TOURNAMENTS</t>
  </si>
  <si>
    <t>S1803036</t>
  </si>
  <si>
    <t>%,VS2303024</t>
  </si>
  <si>
    <t>AGENCY SCHOLARSHIPS</t>
  </si>
  <si>
    <t>S2303024</t>
  </si>
  <si>
    <t>%,VS2303025</t>
  </si>
  <si>
    <t>STUDENT INSURANCE</t>
  </si>
  <si>
    <t>S2303025</t>
  </si>
  <si>
    <t>%,VS2801011</t>
  </si>
  <si>
    <t>UNITED FUND</t>
  </si>
  <si>
    <t>S2801011</t>
  </si>
  <si>
    <t>%,VS2801012</t>
  </si>
  <si>
    <t>WAGE EARNINGS ATTACHMENTS</t>
  </si>
  <si>
    <t>S2801012</t>
  </si>
  <si>
    <t>%,VS4401022</t>
  </si>
  <si>
    <t>INTL STUDIES IN EDUCATION</t>
  </si>
  <si>
    <t>S4401022</t>
  </si>
  <si>
    <t>%,VS4401030</t>
  </si>
  <si>
    <t>WORLD ECONOMY &amp; CHINA</t>
  </si>
  <si>
    <t>S4401030</t>
  </si>
  <si>
    <t>%,VS4601021</t>
  </si>
  <si>
    <t>LAMBDA ALPHA CHAPTER</t>
  </si>
  <si>
    <t>S4601021</t>
  </si>
  <si>
    <t>%,FDEPTID,X,_,FFUND_CODE,TGASB_34_35_FUND,NAGENCY_FUNDS_NONEXP</t>
  </si>
  <si>
    <t>TOTAL AGENCY FUNDS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</si>
  <si>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</si>
  <si>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</si>
  <si>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</si>
  <si>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</si>
  <si>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</si>
  <si>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</si>
  <si>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</si>
  <si>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</si>
  <si>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</si>
  <si>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</si>
  <si>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%,V401000</t>
  </si>
  <si>
    <t>Prof educ summer fees- res</t>
  </si>
  <si>
    <t>401000</t>
  </si>
  <si>
    <t>%,V401100</t>
  </si>
  <si>
    <t>Prof educ summer fees non-res</t>
  </si>
  <si>
    <t>401100</t>
  </si>
  <si>
    <t>%,V401200</t>
  </si>
  <si>
    <t>Prof educ fall fees - resident</t>
  </si>
  <si>
    <t>401200</t>
  </si>
  <si>
    <t>%,V401300</t>
  </si>
  <si>
    <t>Prof educ fall fees-non-res</t>
  </si>
  <si>
    <t>401300</t>
  </si>
  <si>
    <t>%,V401400</t>
  </si>
  <si>
    <t>Prof educ winter fees-resident</t>
  </si>
  <si>
    <t>401400</t>
  </si>
  <si>
    <t>%,V401500</t>
  </si>
  <si>
    <t>Prof educ winter fees-non-res</t>
  </si>
  <si>
    <t>401500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</si>
  <si>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</si>
  <si>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</si>
  <si>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</si>
  <si>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</si>
  <si>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</si>
  <si>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</si>
  <si>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</si>
  <si>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</si>
  <si>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</si>
  <si>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</si>
  <si>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</si>
  <si>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</si>
  <si>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</si>
  <si>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</si>
  <si>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</si>
  <si>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</si>
  <si>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</si>
  <si>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</si>
  <si>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%,V403002</t>
  </si>
  <si>
    <t>Extension Credit Fees</t>
  </si>
  <si>
    <t>403002</t>
  </si>
  <si>
    <t>%,V403200</t>
  </si>
  <si>
    <t>Ext noncredit offcampus</t>
  </si>
  <si>
    <t>403200</t>
  </si>
  <si>
    <t>%,V404000</t>
  </si>
  <si>
    <t>Supplemental fees-summer ungrd</t>
  </si>
  <si>
    <t>404000</t>
  </si>
  <si>
    <t>%,V404001</t>
  </si>
  <si>
    <t>Supplemental Fees</t>
  </si>
  <si>
    <t>404001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</si>
  <si>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</si>
  <si>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</si>
  <si>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</si>
  <si>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</si>
  <si>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</si>
  <si>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</si>
  <si>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</si>
  <si>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</si>
  <si>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</si>
  <si>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%,V404200</t>
  </si>
  <si>
    <t>Supplemental fees-winter ungrd</t>
  </si>
  <si>
    <t>404200</t>
  </si>
  <si>
    <t>%,V404500</t>
  </si>
  <si>
    <t>Instructional computing-summer</t>
  </si>
  <si>
    <t>404500</t>
  </si>
  <si>
    <t>%,V404501</t>
  </si>
  <si>
    <t>Instructional Computing Fees</t>
  </si>
  <si>
    <t>404501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</si>
  <si>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</si>
  <si>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</si>
  <si>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</si>
  <si>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</si>
  <si>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</si>
  <si>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</si>
  <si>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%,V405100</t>
  </si>
  <si>
    <t>Late Payment Fee</t>
  </si>
  <si>
    <t>405100</t>
  </si>
  <si>
    <t>%,V405200</t>
  </si>
  <si>
    <t>Student Finance Charges</t>
  </si>
  <si>
    <t>405200</t>
  </si>
  <si>
    <t>%,V406001</t>
  </si>
  <si>
    <t>Activity &amp; Facility Fees</t>
  </si>
  <si>
    <t>406001</t>
  </si>
  <si>
    <t>%,V406010</t>
  </si>
  <si>
    <t>Activ &amp; Fac Fees-Sum-Undergrad</t>
  </si>
  <si>
    <t>406010</t>
  </si>
  <si>
    <t>%,V406020</t>
  </si>
  <si>
    <t>Act &amp; Fac Fees Sum Grad &amp;Prof</t>
  </si>
  <si>
    <t>406020</t>
  </si>
  <si>
    <t>%,V406110</t>
  </si>
  <si>
    <t>Act Fac Fees-fall-undergrad</t>
  </si>
  <si>
    <t>406110</t>
  </si>
  <si>
    <t>%,V406120</t>
  </si>
  <si>
    <t>Act &amp; Fac Fees Fall grad&amp;prof</t>
  </si>
  <si>
    <t>406120</t>
  </si>
  <si>
    <t>%,V406210</t>
  </si>
  <si>
    <t>Act &amp; Fac Fees-winter-undergra</t>
  </si>
  <si>
    <t>406210</t>
  </si>
  <si>
    <t>%,V406220</t>
  </si>
  <si>
    <t>Act&amp;Fac Fees winter grad&amp;prof</t>
  </si>
  <si>
    <t>406220</t>
  </si>
  <si>
    <t>%,V763000</t>
  </si>
  <si>
    <t>GASB35 Scholar&amp;Fellow Offset</t>
  </si>
  <si>
    <t>763000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</si>
  <si>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</si>
  <si>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</si>
  <si>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</si>
  <si>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</si>
  <si>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</si>
  <si>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</si>
  <si>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</si>
  <si>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</si>
  <si>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</si>
  <si>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%,V420500</t>
  </si>
  <si>
    <t>Taxable Primary-conference rev</t>
  </si>
  <si>
    <t>420500</t>
  </si>
  <si>
    <t>%,V420600</t>
  </si>
  <si>
    <t>Taxable Primary-contact sales</t>
  </si>
  <si>
    <t>420600</t>
  </si>
  <si>
    <t>%,V420700</t>
  </si>
  <si>
    <t>Taxable Primary-food sales</t>
  </si>
  <si>
    <t>420700</t>
  </si>
  <si>
    <t>%,V430000</t>
  </si>
  <si>
    <t>Non Taxable sales</t>
  </si>
  <si>
    <t>430000</t>
  </si>
  <si>
    <t>%,V432520</t>
  </si>
  <si>
    <t>Over / Short - Revenues</t>
  </si>
  <si>
    <t>432520</t>
  </si>
  <si>
    <t xml:space="preserve">   Patient Care Facilities</t>
  </si>
  <si>
    <t>%,V494500</t>
  </si>
  <si>
    <t>Misc Revenue-tax non-prim loc</t>
  </si>
  <si>
    <t>494500</t>
  </si>
  <si>
    <t>%,V495050</t>
  </si>
  <si>
    <t>Royalties</t>
  </si>
  <si>
    <t>495050</t>
  </si>
  <si>
    <t>%,V495100</t>
  </si>
  <si>
    <t>Non tax misc rev-photo copy</t>
  </si>
  <si>
    <t>495100</t>
  </si>
  <si>
    <t>%,V495400</t>
  </si>
  <si>
    <t>Non tax misc rev-clearing</t>
  </si>
  <si>
    <t>495400</t>
  </si>
  <si>
    <t>%,V495500</t>
  </si>
  <si>
    <t>Non tax m r-service &amp; repairs</t>
  </si>
  <si>
    <t>495500</t>
  </si>
  <si>
    <t>%,V495600</t>
  </si>
  <si>
    <t>Non tax m r-freight income</t>
  </si>
  <si>
    <t>495600</t>
  </si>
  <si>
    <t>%,V496000</t>
  </si>
  <si>
    <t>Non tax m r-post office</t>
  </si>
  <si>
    <t>496000</t>
  </si>
  <si>
    <t>%,V496300</t>
  </si>
  <si>
    <t>Non tax m r-used equipment</t>
  </si>
  <si>
    <t>496300</t>
  </si>
  <si>
    <t>%,V496500</t>
  </si>
  <si>
    <t>Rebates - Hospital</t>
  </si>
  <si>
    <t>496500</t>
  </si>
  <si>
    <t>%,V499100</t>
  </si>
  <si>
    <t>Recov of F &amp; A-applicable f&amp;a</t>
  </si>
  <si>
    <t>499100</t>
  </si>
  <si>
    <t>%,V499300</t>
  </si>
  <si>
    <t>RecovReq</t>
  </si>
  <si>
    <t>499300</t>
  </si>
  <si>
    <t>%,FACCOUNT,TGASB_34_35,X,NAUX &amp; EDUC ACTIV,NOTHER DEPT OPERATING,NPROFESSIONAL &amp; CONSU,NSUPPLY_NONCAP ASSET,NUTILITIES,NINVESTMENT IN PLANT,NSELF INSURANCE BENE</t>
  </si>
  <si>
    <t xml:space="preserve">    and Nonoperating Revenues (Expenses) and Transfers</t>
  </si>
  <si>
    <t>%,R,FACCOUNT,TGASB_34_35,NSTATE APPROPS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</si>
  <si>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</si>
  <si>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</si>
  <si>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</si>
  <si>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</si>
  <si>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</si>
  <si>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</si>
  <si>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</si>
  <si>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</si>
  <si>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</si>
  <si>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</si>
  <si>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</si>
  <si>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</si>
  <si>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</si>
  <si>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</si>
  <si>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</si>
  <si>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</si>
  <si>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</si>
  <si>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</si>
  <si>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</si>
  <si>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</si>
  <si>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</si>
  <si>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</si>
  <si>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</si>
  <si>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</si>
  <si>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</si>
  <si>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</si>
  <si>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</si>
  <si>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</si>
  <si>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</si>
  <si>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</si>
  <si>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</si>
  <si>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</si>
  <si>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</si>
  <si>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</si>
  <si>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</si>
  <si>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</si>
  <si>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</si>
  <si>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</si>
  <si>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</si>
  <si>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</si>
  <si>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</si>
  <si>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</si>
  <si>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</si>
  <si>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</si>
  <si>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</si>
  <si>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</si>
  <si>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</si>
  <si>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</si>
  <si>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</si>
  <si>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</si>
  <si>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</si>
  <si>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</si>
  <si>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</si>
  <si>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</si>
  <si>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</si>
  <si>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</si>
  <si>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</si>
  <si>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Patient Care Facilities</t>
  </si>
  <si>
    <t xml:space="preserve">    Housing and Dining Services</t>
  </si>
  <si>
    <t xml:space="preserve">    Bookstores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</si>
  <si>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</si>
  <si>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</si>
  <si>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</si>
  <si>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</si>
  <si>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</si>
  <si>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</si>
  <si>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</si>
  <si>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</si>
  <si>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</si>
  <si>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</si>
  <si>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</si>
  <si>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</si>
  <si>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</si>
  <si>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</si>
  <si>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</si>
  <si>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</si>
  <si>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STLOU</t>
  </si>
  <si>
    <t>Run Date:</t>
  </si>
  <si>
    <t>OPERATING EXPENSES BY OBJECT MATRIX</t>
  </si>
  <si>
    <t>PGASB09S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</si>
  <si>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</si>
  <si>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</si>
  <si>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</si>
  <si>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</si>
  <si>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</si>
  <si>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 xml:space="preserve">  Instruction</t>
  </si>
  <si>
    <t>%,QUGL_CUR_FNDS_OBJECT_RESEARCH,FFUND_CODE,TGASB_34_35_FUND,NCLEARING_ACCTS_UNR,NOPERATIONS_UNR,NRESTR EXPENDABLE,NSELF_INS_UNR,NSVC_OPER_UNR,NAUXILIARIES_CONT_ED</t>
  </si>
  <si>
    <t xml:space="preserve">  Research</t>
  </si>
  <si>
    <t>%,QUGL_CUR_FNDS_OBJECT_PUBLIC,FFUND_CODE,TGASB_34_35_FUND,NCLEARING_ACCTS_UNR,NOPERATIONS_UNR,NRESTR EXPENDABLE,NSELF_INS_UNR,NSVC_OPER_UNR,NAUXILIARIES_CONT_ED</t>
  </si>
  <si>
    <t xml:space="preserve">  Public Service</t>
  </si>
  <si>
    <t>%,QUGL_CUR_FNDS_OBJECT_ACADEMIC,FFUND_CODE,TGASB_34_35_FUND,NCLEARING_ACCTS_UNR,NOPERATIONS_UNR,NRESTR EXPENDABLE,NSELF_INS_UNR,NSVC_OPER_UNR,NAUXILIARIES_CONT_ED</t>
  </si>
  <si>
    <t xml:space="preserve">  Academic Support</t>
  </si>
  <si>
    <t>%,QUGL_CUR_FNDS_OBJECT_STUDENT,FFUND_CODE,TGASB_34_35_FUND,NAUXILIARIES_CONT_ED,NCLEARING_ACCTS_UNR,NCUR_FUNDS_RESTEXP,NOPERATIONS_UNR,NSELF_INS_UNR,NSVC_OPER_UNR</t>
  </si>
  <si>
    <t xml:space="preserve">  Student Services  (B)</t>
  </si>
  <si>
    <t>%,QUGL_CUR_FNDS_OBJECT_INSTRSUP,FFUND_CODE,TGASB_34_35_FUND,NCLEARING_ACCTS_UNR,NOPERATIONS_UNR,NRESTR EXPENDABLE,NSELF_INS_UNR,NSVC_OPER_UNR,NAUXILIARIES_CONT_ED</t>
  </si>
  <si>
    <t xml:space="preserve">  Institutional Support  ( C)</t>
  </si>
  <si>
    <t>%,QUGL_CUR_FNDS_OBJECT_OP_MAINT,FFUND_CODE,TGASB_34_35_FUND,NCLEARING_ACCTS_UNR,NOPERATIONS_UNR,NRESTR EXPENDABLE,NSELF_INS_UNR,NSVC_OPER_UNR,NAUXILIARIES_CONT_ED</t>
  </si>
  <si>
    <t xml:space="preserve">  Operation &amp; Maintenance of Plant</t>
  </si>
  <si>
    <t xml:space="preserve">   </t>
  </si>
  <si>
    <t xml:space="preserve">  Scholarships &amp; Fellowships   (D)</t>
  </si>
  <si>
    <t xml:space="preserve">       Total Educational &amp; General</t>
  </si>
  <si>
    <t>%,QUGL_CUR_FNDS_OBJECT_AUX,CA.POSTED_TOTAL_AMT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</si>
  <si>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</si>
  <si>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</si>
  <si>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</si>
  <si>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</si>
  <si>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</si>
  <si>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</si>
  <si>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</si>
  <si>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</si>
  <si>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</si>
  <si>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</si>
  <si>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</si>
  <si>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</si>
  <si>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</si>
  <si>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</si>
  <si>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</si>
  <si>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</si>
  <si>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</si>
  <si>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</si>
  <si>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</si>
  <si>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</si>
  <si>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</si>
  <si>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</si>
  <si>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PGASB10S</t>
  </si>
  <si>
    <t>Net Assets
July 1, 2003</t>
  </si>
  <si>
    <t>Revenues</t>
  </si>
  <si>
    <t>Expenses</t>
  </si>
  <si>
    <t>Non-Operating Revenues, Expenditures &amp; Transfers</t>
  </si>
  <si>
    <t>Net Assets
June 30, 2004</t>
  </si>
  <si>
    <t>Auxiliaries:</t>
  </si>
  <si>
    <t>%,V0100</t>
  </si>
  <si>
    <t>Intercoll Athletics Auxiliary</t>
  </si>
  <si>
    <t>%,V0200</t>
  </si>
  <si>
    <t>Catering</t>
  </si>
  <si>
    <t>%,V0210</t>
  </si>
  <si>
    <t>Other Faculty/Staff Auxil</t>
  </si>
  <si>
    <t>%,V0300</t>
  </si>
  <si>
    <t>Bookstore</t>
  </si>
  <si>
    <t>%,V0310</t>
  </si>
  <si>
    <t>Dining Services Exclud Housing</t>
  </si>
  <si>
    <t>%,V0315</t>
  </si>
  <si>
    <t>Housing</t>
  </si>
  <si>
    <t>%,V0325</t>
  </si>
  <si>
    <t>Multipurpose Auditorium</t>
  </si>
  <si>
    <t>%,V0330</t>
  </si>
  <si>
    <t>Parking</t>
  </si>
  <si>
    <t>%,V0345</t>
  </si>
  <si>
    <t>Student Health Center</t>
  </si>
  <si>
    <t>%,V0350</t>
  </si>
  <si>
    <t>University Centers</t>
  </si>
  <si>
    <t>%,V0355</t>
  </si>
  <si>
    <t>Vending</t>
  </si>
  <si>
    <t>%,V0360</t>
  </si>
  <si>
    <t>Other Student Auxiliaries</t>
  </si>
  <si>
    <t>%,V0430</t>
  </si>
  <si>
    <t>Child Development</t>
  </si>
  <si>
    <t>%,V0550</t>
  </si>
  <si>
    <t>Psychological Clinic</t>
  </si>
  <si>
    <t>%,V0555</t>
  </si>
  <si>
    <t>Rental Properties</t>
  </si>
  <si>
    <t>%,V0563</t>
  </si>
  <si>
    <t>Performing Arts Center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</si>
  <si>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</si>
  <si>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</si>
  <si>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</si>
  <si>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</si>
  <si>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</si>
  <si>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</si>
  <si>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</si>
  <si>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</si>
  <si>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</si>
  <si>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</si>
  <si>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</si>
  <si>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</si>
  <si>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>%,FFUND_CODE,V0300</t>
  </si>
  <si>
    <t>%,FFUND_CODE,V0315</t>
  </si>
  <si>
    <t>%,FFUND_CODE,V0100</t>
  </si>
  <si>
    <t>%,FFUND_CODE,V0330</t>
  </si>
  <si>
    <t>%,FFUND_CODE,V0350</t>
  </si>
  <si>
    <t>STATEMENT OF REVENUES, EXPENSES AND CHANGES IN NET ASSETS - FOR SELECT AUXILIARY OPERATIONS</t>
  </si>
  <si>
    <t>Housing System</t>
  </si>
  <si>
    <t>Intercollegiate Athletics</t>
  </si>
  <si>
    <t>University Center</t>
  </si>
  <si>
    <t>%,V762000</t>
  </si>
  <si>
    <t>Room and Board Waivers</t>
  </si>
  <si>
    <t>762000</t>
  </si>
  <si>
    <t>%,R,FACCOUNT,TGASB_34_35,X,NSTUDENT FEES,NSTUDENT AID</t>
  </si>
  <si>
    <t xml:space="preserve">  Student Fees</t>
  </si>
  <si>
    <t>%,V420200</t>
  </si>
  <si>
    <t>Taxable Primary-athletic sales</t>
  </si>
  <si>
    <t>420200</t>
  </si>
  <si>
    <t>%,V421200</t>
  </si>
  <si>
    <t>Taxable Primary-textbook sales</t>
  </si>
  <si>
    <t>421200</t>
  </si>
  <si>
    <t>%,V430150</t>
  </si>
  <si>
    <t>NonTaxable-Display Advertising</t>
  </si>
  <si>
    <t>430150</t>
  </si>
  <si>
    <t>%,V431200</t>
  </si>
  <si>
    <t>Non Taxable-conference revenue</t>
  </si>
  <si>
    <t>431200</t>
  </si>
  <si>
    <t>%,V431300</t>
  </si>
  <si>
    <t>Non Taxable-crop sales</t>
  </si>
  <si>
    <t>431300</t>
  </si>
  <si>
    <t>%,V431400</t>
  </si>
  <si>
    <t>Non Taxable-department charges</t>
  </si>
  <si>
    <t>431400</t>
  </si>
  <si>
    <t>%,V431500</t>
  </si>
  <si>
    <t>Non Taxable-food sales</t>
  </si>
  <si>
    <t>431500</t>
  </si>
  <si>
    <t>%,V431600</t>
  </si>
  <si>
    <t>Non Taxable-hous room &amp; board</t>
  </si>
  <si>
    <t>431600</t>
  </si>
  <si>
    <t>%,V432100</t>
  </si>
  <si>
    <t>Non Tax-parking fees-other</t>
  </si>
  <si>
    <t>432100</t>
  </si>
  <si>
    <t xml:space="preserve">  Sales and Services of Auxiliary and Education Activities</t>
  </si>
  <si>
    <t>%,R,FACCOUNT,TGASB_34_35,X,NOTHER OPERATING REV,NFEDERAL GRANTS,NINTEREST NOTES REC,NLOAN FUND DEDUCT,NOTHER GOVT GRANTS,NPATIENT MED SERV,NPRIVATE GRANTS,NSTATE GRANTS</t>
  </si>
  <si>
    <t xml:space="preserve">  Other Operating Revenues</t>
  </si>
  <si>
    <t xml:space="preserve">         Total Operating Revenues</t>
  </si>
  <si>
    <t xml:space="preserve">  Salaries and Wages</t>
  </si>
  <si>
    <t xml:space="preserve">  Staff Benefits</t>
  </si>
  <si>
    <t>%,FACCOUNT,TGASB_34_35,X,NCOGS</t>
  </si>
  <si>
    <t xml:space="preserve">  Cost of Goods Sold</t>
  </si>
  <si>
    <t>%,FACCOUNT,TGASB_34_35,X,NUTILITIES,NUTILITIES UNIV GENER</t>
  </si>
  <si>
    <t xml:space="preserve">  Utilities</t>
  </si>
  <si>
    <t>%,FACCOUNT,TGASB_34_35,X,NSUPPLY_NONCAP ASSET</t>
  </si>
  <si>
    <t xml:space="preserve">  Supplies and Non Capital Equipment</t>
  </si>
  <si>
    <t>%,FACCOUNT,TGASB_34_35,X,NPROFESSIONAL &amp; CONSU</t>
  </si>
  <si>
    <t xml:space="preserve">  Professional and Consulting Services</t>
  </si>
  <si>
    <t>%,FACCOUNT,TGASB_34_35,X,NOTHER DEPT OPERATING,NDISP OF PLANT ASSETS,NSCHOLAR &amp; FELLOW,NCAPITAL ASSETS,NCAPITAL OFFSET,NDEPR,NINVESTMENT IN PLANT,NSELF INSURANCE BENE</t>
  </si>
  <si>
    <t xml:space="preserve">  Other Departmental Operating Expense</t>
  </si>
  <si>
    <t xml:space="preserve">         Total Operating Expenses</t>
  </si>
  <si>
    <t>Operating Income (Loss) before Other Nonoperating</t>
  </si>
  <si>
    <t>Revenues (Expenses) and Transfers</t>
  </si>
  <si>
    <t>Other Nonoperating Revenues (Expenses) and Transfers:</t>
  </si>
  <si>
    <t xml:space="preserve">  Investment and Endowment Income</t>
  </si>
  <si>
    <t>%,R,FACCOUNT,TGASB_34_35,X,NGIFTS</t>
  </si>
  <si>
    <t xml:space="preserve">  Private Gifts</t>
  </si>
  <si>
    <t>%,FACCOUNT,TGASB_34_35,X,NINTEREST CAP DEBT</t>
  </si>
  <si>
    <t xml:space="preserve">  Interest Expense</t>
  </si>
  <si>
    <t>%,R,FACCOUNT,TGASB_34_35,X,NFEDERAL APPROPS,NPAYMENTS TO BENE,NRETIREMENT BENEFITS,NSTATE APPROPS</t>
  </si>
  <si>
    <t xml:space="preserve">  Other Nonoperating Revenues and Expenses</t>
  </si>
  <si>
    <t>%,R,FACCOUNT,TGASB_34_35,X,NTRANSFERS</t>
  </si>
  <si>
    <t xml:space="preserve">  Transfers</t>
  </si>
  <si>
    <t xml:space="preserve">          Net Other Nonoperating Revenues (Expenses)</t>
  </si>
  <si>
    <t xml:space="preserve">             and Transfers</t>
  </si>
  <si>
    <t xml:space="preserve">   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</si>
  <si>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</si>
  <si>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</si>
  <si>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</si>
  <si>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</si>
  <si>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</si>
  <si>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</si>
  <si>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</si>
  <si>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PGASB13S</t>
  </si>
  <si>
    <t>Balance
July 1, 2003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</si>
  <si>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</si>
  <si>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</si>
  <si>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</si>
  <si>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</si>
  <si>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</si>
  <si>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</t>
  </si>
  <si>
    <t>%,VS6001</t>
  </si>
  <si>
    <t>NATIONAL DIRECT ST L</t>
  </si>
  <si>
    <t>%,VS6002</t>
  </si>
  <si>
    <t>OPTOMETRY LOAN</t>
  </si>
  <si>
    <t>%,VS6003</t>
  </si>
  <si>
    <t>NURSING LOAN-UGRAD</t>
  </si>
  <si>
    <t>%,VS6004</t>
  </si>
  <si>
    <t>NURSING LOAN-GRAD</t>
  </si>
  <si>
    <t>%,VS6005</t>
  </si>
  <si>
    <t>LDS - OPTOMETRY</t>
  </si>
  <si>
    <t>%,VS6006</t>
  </si>
  <si>
    <t>ALLOW-DBTFL LOAN-FED</t>
  </si>
  <si>
    <t>%,VS6007</t>
  </si>
  <si>
    <t>EUNICE BEIMDIEK</t>
  </si>
  <si>
    <t>%,VS6008</t>
  </si>
  <si>
    <t>HUGH AND FLO BRYANT</t>
  </si>
  <si>
    <t>%,VS6009</t>
  </si>
  <si>
    <t>GENERAL STUDENT LOAN</t>
  </si>
  <si>
    <t>%,VS6011</t>
  </si>
  <si>
    <t>V N SAPP STUDENT LN</t>
  </si>
  <si>
    <t>%,VS6012</t>
  </si>
  <si>
    <t>O M SCOTT LOAN</t>
  </si>
  <si>
    <t>%,VS6013</t>
  </si>
  <si>
    <t>SHRT TRM OPT STU LN</t>
  </si>
  <si>
    <t>%,VS6019</t>
  </si>
  <si>
    <t>WEBSTER GROVES ROTLN</t>
  </si>
  <si>
    <t>%,VS6023</t>
  </si>
  <si>
    <t>John B Christian Loan Fund</t>
  </si>
  <si>
    <t>%,FPROGRAM_CODE,TPROGRAM,X,NR_LOANPGM,NA_LOANPGM,NK_LOANPGM,NC_LOANPGM,NE_LOANPGM,NS_LOANPGM,NU_LOANPGM,FFUND_CODE,TGASB_34_35_FUND,NLOAN_FUNDS_RESTEXP,NLOAN_FUNDS_NONEXP</t>
  </si>
  <si>
    <t>TOTAL RESTRICTED</t>
  </si>
  <si>
    <t>UNRESTRICTED</t>
  </si>
  <si>
    <t>%,VS6000</t>
  </si>
  <si>
    <t>CASH &amp; CASH EQUIV</t>
  </si>
  <si>
    <t>%,VS6014</t>
  </si>
  <si>
    <t>SHORT-TERM STUDENTLN</t>
  </si>
  <si>
    <t>%,VS6015</t>
  </si>
  <si>
    <t>BARNETT EMERG ST LNS</t>
  </si>
  <si>
    <t>%,VS6016</t>
  </si>
  <si>
    <t>BOWLING EMERG ST LN</t>
  </si>
  <si>
    <t>%,VS6017</t>
  </si>
  <si>
    <t>EMERGENCY STU LN FND</t>
  </si>
  <si>
    <t>%,VS6018</t>
  </si>
  <si>
    <t>UM ST LOUIS LOAN FND</t>
  </si>
  <si>
    <t>%,VS6020</t>
  </si>
  <si>
    <t>ALLOW DBFL NOTE NF-U</t>
  </si>
  <si>
    <t>%,VS6021</t>
  </si>
  <si>
    <t>STUDENT LOAN SUSPENS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</si>
  <si>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</si>
  <si>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</si>
  <si>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</si>
  <si>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</si>
  <si>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</si>
  <si>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</si>
  <si>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</si>
  <si>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</si>
  <si>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</si>
  <si>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PGASB14S</t>
  </si>
  <si>
    <t>Gifts and
Other
Additions</t>
  </si>
  <si>
    <t>Income (Loss)
added to
Principal</t>
  </si>
  <si>
    <t>Gain (Loss)
on Sale of
Securities</t>
  </si>
  <si>
    <t>ENDOWMENT FUNDS</t>
  </si>
  <si>
    <t>INCOME RESTRICTED -</t>
  </si>
  <si>
    <t>%,VC0092</t>
  </si>
  <si>
    <t>BODINE UNRESTRICTED ENDOWMENT</t>
  </si>
  <si>
    <t>%,VS0000</t>
  </si>
  <si>
    <t>ANHEUSER-BUSCH SCHP</t>
  </si>
  <si>
    <t>%,VS0001</t>
  </si>
  <si>
    <t>ASM - ST LOUIS SCHP</t>
  </si>
  <si>
    <t>%,VS0002</t>
  </si>
  <si>
    <t>LEGACY SCHOLARSHIP</t>
  </si>
  <si>
    <t>%,VS0003</t>
  </si>
  <si>
    <t>M B BABCOCK MEM FD</t>
  </si>
  <si>
    <t>%,VS0004</t>
  </si>
  <si>
    <t>BARNES EDUCATION SCH</t>
  </si>
  <si>
    <t>%,VS0005</t>
  </si>
  <si>
    <t>L BARTON SCHP</t>
  </si>
  <si>
    <t>%,VS0006</t>
  </si>
  <si>
    <t>NURSING ALUMNI SCHP</t>
  </si>
  <si>
    <t>%,VS0007</t>
  </si>
  <si>
    <t>BERAN SCHOLARSHIP</t>
  </si>
  <si>
    <t>%,VS0008</t>
  </si>
  <si>
    <t>BELLINGRATH SCHP</t>
  </si>
  <si>
    <t>%,VS0009</t>
  </si>
  <si>
    <t>BRANAHL SCHOLARSHIP</t>
  </si>
  <si>
    <t>%,VS0010</t>
  </si>
  <si>
    <t>BURNS HISTORY SCHOL</t>
  </si>
  <si>
    <t>%,VS0011</t>
  </si>
  <si>
    <t>CASSIDY MEM SCHP</t>
  </si>
  <si>
    <t>%,VS0013</t>
  </si>
  <si>
    <t>CITIZEN'S COMMITTEE</t>
  </si>
  <si>
    <t>%,VS0014</t>
  </si>
  <si>
    <t>LUCIA KRAMER COLLINS</t>
  </si>
  <si>
    <t>%,VS0015</t>
  </si>
  <si>
    <t>COOKE CHEMISTRY SCHL</t>
  </si>
  <si>
    <t>%,VS0016</t>
  </si>
  <si>
    <t>JACK COX SCHP</t>
  </si>
  <si>
    <t>%,VS0017</t>
  </si>
  <si>
    <t>DOYLE MEM FELLOW</t>
  </si>
  <si>
    <t>%,VS0018</t>
  </si>
  <si>
    <t>ERNST &amp; YOUNG SCHP</t>
  </si>
  <si>
    <t>%,VS0019</t>
  </si>
  <si>
    <t>FISHMAN ADJ SCHP</t>
  </si>
  <si>
    <t>%,VS0020</t>
  </si>
  <si>
    <t>GRANGER BIOLOGY AWD</t>
  </si>
  <si>
    <t>%,VS0021</t>
  </si>
  <si>
    <t>MINDY GRIFFIN SCHP</t>
  </si>
  <si>
    <t>%,VS0022</t>
  </si>
  <si>
    <t>A GROBMAN END SHP FD</t>
  </si>
  <si>
    <t>%,VS0023</t>
  </si>
  <si>
    <t>FRIENDS OF GROVE SCH</t>
  </si>
  <si>
    <t>%,VS0024</t>
  </si>
  <si>
    <t>FRIENDS SCHOLAR FUND</t>
  </si>
  <si>
    <t>%,VS0025</t>
  </si>
  <si>
    <t>FRITSCHE SCHP</t>
  </si>
  <si>
    <t>%,VS0026</t>
  </si>
  <si>
    <t>HASKELL ACCTG SCHOL</t>
  </si>
  <si>
    <t>%,VS0027</t>
  </si>
  <si>
    <t>RICK GEORGE SCHP</t>
  </si>
  <si>
    <t>%,VS0028</t>
  </si>
  <si>
    <t>HELLENIC/KARAKAS SCH</t>
  </si>
  <si>
    <t>%,VS0030</t>
  </si>
  <si>
    <t>MARY GILBERT SCHP</t>
  </si>
  <si>
    <t>%,VS0031</t>
  </si>
  <si>
    <t>GUSTAFSON SCHP</t>
  </si>
  <si>
    <t>%,VS0032</t>
  </si>
  <si>
    <t>GRAD BUSINESS SCHP</t>
  </si>
  <si>
    <t>%,VS0033</t>
  </si>
  <si>
    <t>HOOK MEM SCHP</t>
  </si>
  <si>
    <t>%,VS0034</t>
  </si>
  <si>
    <t>ELIS HORKITS SCH FD</t>
  </si>
  <si>
    <t>%,VS0035</t>
  </si>
  <si>
    <t>PW &amp; HM GOODE SCHOL</t>
  </si>
  <si>
    <t>%,VS0037</t>
  </si>
  <si>
    <t>W M ISBELL SCHOLAR</t>
  </si>
  <si>
    <t>%,VS0038</t>
  </si>
  <si>
    <t>WILLIAM JACKSON SCHP</t>
  </si>
  <si>
    <t>%,VS0039</t>
  </si>
  <si>
    <t>JENNINGS DO-DADS SCH</t>
  </si>
  <si>
    <t>%,VS0040</t>
  </si>
  <si>
    <t>BUCK SCHOLARSHIP</t>
  </si>
  <si>
    <t>%,VS0041</t>
  </si>
  <si>
    <t>KNAPP MEM SCHP</t>
  </si>
  <si>
    <t>%,VS0042</t>
  </si>
  <si>
    <t>KOETTING SCHOLARSHIP</t>
  </si>
  <si>
    <t>%,VS0043</t>
  </si>
  <si>
    <t>HAZEL L KOHRING SCH</t>
  </si>
  <si>
    <t>%,VS0044</t>
  </si>
  <si>
    <t>LONGINETTE SCHP</t>
  </si>
  <si>
    <t>%,VS0045</t>
  </si>
  <si>
    <t>LOPATA AWARD</t>
  </si>
  <si>
    <t>%,VS0046</t>
  </si>
  <si>
    <t>LOPATA SCHOLARSHIP</t>
  </si>
  <si>
    <t>%,VS0047</t>
  </si>
  <si>
    <t>MALLINCKRODT SCHP</t>
  </si>
  <si>
    <t>%,VS0048</t>
  </si>
  <si>
    <t>SHARON MARGLOUS SCHL</t>
  </si>
  <si>
    <t>%,VS0049</t>
  </si>
  <si>
    <t>ARTHUR MAYER MEM SCH</t>
  </si>
  <si>
    <t>%,VS0050</t>
  </si>
  <si>
    <t>MAY SCHOLARSHIPS</t>
  </si>
  <si>
    <t>%,VS0051</t>
  </si>
  <si>
    <t>MASON FAMILY SCHP</t>
  </si>
  <si>
    <t>%,VS0052</t>
  </si>
  <si>
    <t>MCADAM SCHP FUND</t>
  </si>
  <si>
    <t>%,VS0053</t>
  </si>
  <si>
    <t>MCDONOUGH SCHP</t>
  </si>
  <si>
    <t>%,VS0054</t>
  </si>
  <si>
    <t>STAN MUSIAL SCHOLAR</t>
  </si>
  <si>
    <t>%,VS0055</t>
  </si>
  <si>
    <t>MONXMODE FUND</t>
  </si>
  <si>
    <t>%,VS0056</t>
  </si>
  <si>
    <t>NOEL K MAHR SCHP</t>
  </si>
  <si>
    <t>%,VS0057</t>
  </si>
  <si>
    <t>MONSANTO/MRB SCHOLAR</t>
  </si>
  <si>
    <t>%,VS0060</t>
  </si>
  <si>
    <t>MARIAN OLDHAM SCHP</t>
  </si>
  <si>
    <t>%,VS0061</t>
  </si>
  <si>
    <t>JOHN PERRY SCHP</t>
  </si>
  <si>
    <t>%,VS0062</t>
  </si>
  <si>
    <t>PWSB FOUNDATION SCH</t>
  </si>
  <si>
    <t>%,VS0063</t>
  </si>
  <si>
    <t>POLITICS IN AMERICA</t>
  </si>
  <si>
    <t>%,VS0064</t>
  </si>
  <si>
    <t>PUMPHREY SCHOLARSHIP</t>
  </si>
  <si>
    <t>%,VS0065</t>
  </si>
  <si>
    <t>PRESIDENT'S AWARD</t>
  </si>
  <si>
    <t>%,VS0066</t>
  </si>
  <si>
    <t>R E REA MATH SCHP FD</t>
  </si>
  <si>
    <t>%,VS0067</t>
  </si>
  <si>
    <t>ROULHAC SCHOLARSHIP</t>
  </si>
  <si>
    <t>%,VS0068</t>
  </si>
  <si>
    <t>ROBINSON MEMORIAL SCHOLARSHIP</t>
  </si>
  <si>
    <t>%,VS0069</t>
  </si>
  <si>
    <t>ROSS MEM SCHP FUND</t>
  </si>
  <si>
    <t>%,VS0070</t>
  </si>
  <si>
    <t>MANFRED ROMMEL SCHP</t>
  </si>
  <si>
    <t>%,VS0071</t>
  </si>
  <si>
    <t>ST LOUIS MAYORS SCH</t>
  </si>
  <si>
    <t>%,VS0072</t>
  </si>
  <si>
    <t>JACOBS/SVERDRUP ENGRG SCHLP</t>
  </si>
  <si>
    <t>%,VS0073</t>
  </si>
  <si>
    <t>GEORGE RAWICK AWARD</t>
  </si>
  <si>
    <t>%,VS0074</t>
  </si>
  <si>
    <t>UN DAY ESSAY CONTEST</t>
  </si>
  <si>
    <t>%,VS0075</t>
  </si>
  <si>
    <t>L J SHERMAN SCH</t>
  </si>
  <si>
    <t>%,VS0076</t>
  </si>
  <si>
    <t>SHEPLEY BANKING SCHP</t>
  </si>
  <si>
    <t>%,VS0077</t>
  </si>
  <si>
    <t>E &amp; S SYMINGTON SCHP</t>
  </si>
  <si>
    <t>%,VS0078</t>
  </si>
  <si>
    <t>MCNEAL MEM SCHP FD</t>
  </si>
  <si>
    <t>%,VS0079</t>
  </si>
  <si>
    <t>V SAPP SCHOLARSHIP</t>
  </si>
  <si>
    <t>%,VS0080</t>
  </si>
  <si>
    <t>STROH MUSIC SCHP</t>
  </si>
  <si>
    <t>%,VS0081</t>
  </si>
  <si>
    <t>S'WESTERN BELL SCHOL</t>
  </si>
  <si>
    <t>%,VS0082</t>
  </si>
  <si>
    <t>SWEENEY SCHOLARSHIP</t>
  </si>
  <si>
    <t>%,VS0083</t>
  </si>
  <si>
    <t>TKE SCHOLARSHIP</t>
  </si>
  <si>
    <t>%,VS0084</t>
  </si>
  <si>
    <t>TIDWELL NURSING SCHP</t>
  </si>
  <si>
    <t>%,VS0085</t>
  </si>
  <si>
    <t>TOWARDS INDEP SCHOL</t>
  </si>
  <si>
    <t>%,VS0086</t>
  </si>
  <si>
    <t>NORBERT TERRE MEM</t>
  </si>
  <si>
    <t>%,VS0087</t>
  </si>
  <si>
    <t>TSADIK MINORITY SCHP</t>
  </si>
  <si>
    <t>%,VS0088</t>
  </si>
  <si>
    <t>EMERY TURNER FUND</t>
  </si>
  <si>
    <t>%,VS0089</t>
  </si>
  <si>
    <t>SOC WK ALUM SCHP</t>
  </si>
  <si>
    <t>%,VS0090</t>
  </si>
  <si>
    <t>UMSL WOMEN SCHOL</t>
  </si>
  <si>
    <t>%,VS0091</t>
  </si>
  <si>
    <t>KATHY VAN DYKE SCHOL</t>
  </si>
  <si>
    <t>%,VS0092</t>
  </si>
  <si>
    <t>WALTERS MUSIC SCHP</t>
  </si>
  <si>
    <t>%,VS0093</t>
  </si>
  <si>
    <t>WHITENER EVENING COL</t>
  </si>
  <si>
    <t>%,VS0094</t>
  </si>
  <si>
    <t>G C WILSON AWARD</t>
  </si>
  <si>
    <t>%,VS0095</t>
  </si>
  <si>
    <t>HARRIETT WOODS SCHOL</t>
  </si>
  <si>
    <t>%,VS0096</t>
  </si>
  <si>
    <t>ALUMNI LECTURE</t>
  </si>
  <si>
    <t>%,VS0097</t>
  </si>
  <si>
    <t>BARRIGER III LIBRARY</t>
  </si>
  <si>
    <t>%,VS0098</t>
  </si>
  <si>
    <t>BARRIGER MO PROFESSO</t>
  </si>
  <si>
    <t>%,VS0099</t>
  </si>
  <si>
    <t>BARRIGER MEMORIAL BOOK FUND</t>
  </si>
  <si>
    <t>%,VS0100</t>
  </si>
  <si>
    <t>NEWMAN BOOK FUND</t>
  </si>
  <si>
    <t>%,VS0101</t>
  </si>
  <si>
    <t>WEIL TRAVEL BOOK FND</t>
  </si>
  <si>
    <t>%,VS0102</t>
  </si>
  <si>
    <t>DUHME BOOK FUND</t>
  </si>
  <si>
    <t>%,VS0103</t>
  </si>
  <si>
    <t>GREEN RARE BOOK FUND</t>
  </si>
  <si>
    <t>%,VS0104</t>
  </si>
  <si>
    <t>WESTERN AMERICANA FD</t>
  </si>
  <si>
    <t>%,VS0105</t>
  </si>
  <si>
    <t>WRIGHT AWARD</t>
  </si>
  <si>
    <t>%,VS0106</t>
  </si>
  <si>
    <t>POTT WATERWAYS FUND</t>
  </si>
  <si>
    <t>%,VS0107</t>
  </si>
  <si>
    <t>RUTH FERRIS FUND</t>
  </si>
  <si>
    <t>%,VS0108</t>
  </si>
  <si>
    <t>MERCANTILE MO PROF</t>
  </si>
  <si>
    <t>%,VS0109</t>
  </si>
  <si>
    <t>N CLAYPOOL MEM FUND</t>
  </si>
  <si>
    <t>%,VS0110</t>
  </si>
  <si>
    <t>PROF IN CITIZEN EDUC</t>
  </si>
  <si>
    <t>%,VS0111</t>
  </si>
  <si>
    <t>HARRIS ECOLOGY LECT</t>
  </si>
  <si>
    <t>%,VS0112</t>
  </si>
  <si>
    <t>HAYEK PROF ECON HIST</t>
  </si>
  <si>
    <t>%,VS0113</t>
  </si>
  <si>
    <t>E DES LEE FAM PROF</t>
  </si>
  <si>
    <t>%,VS0114</t>
  </si>
  <si>
    <t>D LEE FAMILY PROF II</t>
  </si>
  <si>
    <t>%,VS0115</t>
  </si>
  <si>
    <t>D LEE ART EDUC</t>
  </si>
  <si>
    <t>%,VS0116</t>
  </si>
  <si>
    <t>LEE PROF MUSEUM HIST</t>
  </si>
  <si>
    <t>%,VS0117</t>
  </si>
  <si>
    <t>LEE MUSIC EDUCATION</t>
  </si>
  <si>
    <t>%,VS0118</t>
  </si>
  <si>
    <t>LEE PROF BOTANICAL</t>
  </si>
  <si>
    <t>%,VS0119</t>
  </si>
  <si>
    <t>LEE PROF ZOO STUDIES</t>
  </si>
  <si>
    <t>%,VS0121</t>
  </si>
  <si>
    <t>D LEE PROF URBAN EDU</t>
  </si>
  <si>
    <t>%,VS0122</t>
  </si>
  <si>
    <t>D LEE PROF TUTORIAL</t>
  </si>
  <si>
    <t>%,VS0123</t>
  </si>
  <si>
    <t>MCDONNELL PROFESSOR</t>
  </si>
  <si>
    <t>%,VS0124</t>
  </si>
  <si>
    <t>D LEE PUBLIC POLICY</t>
  </si>
  <si>
    <t>%,VS0125</t>
  </si>
  <si>
    <t>D LEE YOUTH VIOLENC</t>
  </si>
  <si>
    <t>%,VS0126</t>
  </si>
  <si>
    <t>GREEK PROFESSORSHIP</t>
  </si>
  <si>
    <t>%,VS0127</t>
  </si>
  <si>
    <t>MCFERRIN END ARTS</t>
  </si>
  <si>
    <t>%,VS0128</t>
  </si>
  <si>
    <t>KENNETH MILLER ENDOW</t>
  </si>
  <si>
    <t>%,VS0129</t>
  </si>
  <si>
    <t>MOOG NURSING PROF</t>
  </si>
  <si>
    <t>%,VS0130</t>
  </si>
  <si>
    <t>PELICAN LECTURE</t>
  </si>
  <si>
    <t>%,VS0131</t>
  </si>
  <si>
    <t>WM ORTHWEIN PROF SCI</t>
  </si>
  <si>
    <t>%,VS0132</t>
  </si>
  <si>
    <t>PRIMM LECTURE SERIES</t>
  </si>
  <si>
    <t>%,VS0133</t>
  </si>
  <si>
    <t>VAN UUM FD SHEAR IN</t>
  </si>
  <si>
    <t>%,VS0134</t>
  </si>
  <si>
    <t>PROF JAPAN STUDIES</t>
  </si>
  <si>
    <t>%,VS0135</t>
  </si>
  <si>
    <t>SHUMAN LIBRARY MEM</t>
  </si>
  <si>
    <t>%,VS0136</t>
  </si>
  <si>
    <t>ST LOUIS STUDENT INV</t>
  </si>
  <si>
    <t>%,VS0137</t>
  </si>
  <si>
    <t>SMURFIT-STONE ENDOW PROF</t>
  </si>
  <si>
    <t>%,VS0138</t>
  </si>
  <si>
    <t>TOMAZI MEM RESEARCH</t>
  </si>
  <si>
    <t>%,VS0139</t>
  </si>
  <si>
    <t>TSIANG CHINESE PROF</t>
  </si>
  <si>
    <t>%,VS0141</t>
  </si>
  <si>
    <t>AFRICAN-AMER SCHLP</t>
  </si>
  <si>
    <t>%,VS0144</t>
  </si>
  <si>
    <t>ANDERSEN CONSULT SC</t>
  </si>
  <si>
    <t>%,VS0145</t>
  </si>
  <si>
    <t>E JONES ALUMNI SCHLP</t>
  </si>
  <si>
    <t>%,VS0146</t>
  </si>
  <si>
    <t>PROF LEARNING &amp; TECH</t>
  </si>
  <si>
    <t>%,VS0148</t>
  </si>
  <si>
    <t>FEDDER LECTURE</t>
  </si>
  <si>
    <t>%,VS0149</t>
  </si>
  <si>
    <t>STRASSENFEST FUND-GERMAN STUD</t>
  </si>
  <si>
    <t>%,VS0150</t>
  </si>
  <si>
    <t>GRAFMAN SCHOLARSHIP</t>
  </si>
  <si>
    <t>%,VS0151</t>
  </si>
  <si>
    <t>DAGMAR GRAHAM SCHLP</t>
  </si>
  <si>
    <t>%,VS0152</t>
  </si>
  <si>
    <t>KOUMPARAKIS-MOSS SCHOLARSHIP</t>
  </si>
  <si>
    <t>%,VS0154</t>
  </si>
  <si>
    <t>BETTY LEE SCHLP</t>
  </si>
  <si>
    <t>%,VS0157</t>
  </si>
  <si>
    <t>DJM EVENG COLL SCHLP</t>
  </si>
  <si>
    <t>%,VS0159</t>
  </si>
  <si>
    <t>MURRAY LECTURESHIP</t>
  </si>
  <si>
    <t>%,VS0160</t>
  </si>
  <si>
    <t>J NILSON MEML SCHLP</t>
  </si>
  <si>
    <t>%,VS0161</t>
  </si>
  <si>
    <t>ANITA PALMER CORBIN SCHLP</t>
  </si>
  <si>
    <t>%,VS0162</t>
  </si>
  <si>
    <t>J &amp; M PORTER SCHLP</t>
  </si>
  <si>
    <t>%,VS0164</t>
  </si>
  <si>
    <t>SANDERSON SCHOLARSHP</t>
  </si>
  <si>
    <t>%,VS0165</t>
  </si>
  <si>
    <t>CHUCK SMITH SCHLP</t>
  </si>
  <si>
    <t>%,VS0166</t>
  </si>
  <si>
    <t>WENDELL SMITH SCHLP</t>
  </si>
  <si>
    <t>%,VS0183</t>
  </si>
  <si>
    <t>JOHN DENVER SCHP</t>
  </si>
  <si>
    <t>%,VS0184</t>
  </si>
  <si>
    <t>JANE HARRIS SCHP</t>
  </si>
  <si>
    <t>%,VS0185</t>
  </si>
  <si>
    <t>LARKIN SCHP FUND</t>
  </si>
  <si>
    <t>%,VS0186</t>
  </si>
  <si>
    <t>STOKES FAMILY SCHP</t>
  </si>
  <si>
    <t>%,VS0187</t>
  </si>
  <si>
    <t>KWMU ENDOWMENT</t>
  </si>
  <si>
    <t>%,VS0188</t>
  </si>
  <si>
    <t>GANZ SCHOLARSHIP</t>
  </si>
  <si>
    <t>%,VS0190</t>
  </si>
  <si>
    <t>UMSL CHAN COUN SCHLP</t>
  </si>
  <si>
    <t>%,VS0191</t>
  </si>
  <si>
    <t>MARTINICH SCHOLARSHP</t>
  </si>
  <si>
    <t>%,VS0192</t>
  </si>
  <si>
    <t>VOGT MEMORIAL SCHLP</t>
  </si>
  <si>
    <t>%,VS0193</t>
  </si>
  <si>
    <t>ENTREP STUDIES SCHLP</t>
  </si>
  <si>
    <t>%,VS0197</t>
  </si>
  <si>
    <t>MCAFFREY SCHOLARSHIP</t>
  </si>
  <si>
    <t>%,VS0199</t>
  </si>
  <si>
    <t>BARBARA ST CYR/ART FACULTY SCH</t>
  </si>
  <si>
    <t>%,VS0200</t>
  </si>
  <si>
    <t>WOMEN IN CHEM SCHLP</t>
  </si>
  <si>
    <t>%,VS0201</t>
  </si>
  <si>
    <t>WMN IN OPTOMETRY SCH</t>
  </si>
  <si>
    <t>%,VS0202</t>
  </si>
  <si>
    <t>A C Ingersoll Fellowship</t>
  </si>
  <si>
    <t>%,VS0203</t>
  </si>
  <si>
    <t>Samudrala Scholarship</t>
  </si>
  <si>
    <t>%,VS0204</t>
  </si>
  <si>
    <t>Adk McHugh Mem Schlp</t>
  </si>
  <si>
    <t>%,VS0206</t>
  </si>
  <si>
    <t>Donna Free Scholarship</t>
  </si>
  <si>
    <t>%,VS0207</t>
  </si>
  <si>
    <t>Carol Gruen Endowed Schlp</t>
  </si>
  <si>
    <t>%,VS0208</t>
  </si>
  <si>
    <t>O'Grady Memorial Scholarship</t>
  </si>
  <si>
    <t>%,VS0210</t>
  </si>
  <si>
    <t>EUGENE MEEHAN SCHOLARSHIP FUND</t>
  </si>
  <si>
    <t>%,VS0211</t>
  </si>
  <si>
    <t>Tatis/Cardinals Scholarship</t>
  </si>
  <si>
    <t>%,VS0212</t>
  </si>
  <si>
    <t>Tatini Family Scholarship</t>
  </si>
  <si>
    <t>%,VS0215</t>
  </si>
  <si>
    <t>Brunngraber Memorial Schlp</t>
  </si>
  <si>
    <t>%,VS0216</t>
  </si>
  <si>
    <t>Ruth Bryant Banking History Fd</t>
  </si>
  <si>
    <t>%,VS0217</t>
  </si>
  <si>
    <t>Kathleen Osborn Alumni Schlp</t>
  </si>
  <si>
    <t>%,VS0218</t>
  </si>
  <si>
    <t>Elliott Business Scholarship</t>
  </si>
  <si>
    <t>%,VS0219</t>
  </si>
  <si>
    <t>DAKOTA-Angie Behlmann Meml Sch</t>
  </si>
  <si>
    <t>%,VS0220</t>
  </si>
  <si>
    <t>M Thomas Jones Memorial Fund</t>
  </si>
  <si>
    <t>%,VS0221</t>
  </si>
  <si>
    <t>M Lee Prof Oncology Nursing</t>
  </si>
  <si>
    <t>%,VS0222</t>
  </si>
  <si>
    <t>Cresswell Map and Print Fund</t>
  </si>
  <si>
    <t>%,VS0223</t>
  </si>
  <si>
    <t>Jack W Bennett Scholarship</t>
  </si>
  <si>
    <t>%,VS0225</t>
  </si>
  <si>
    <t>AAR Scholarship</t>
  </si>
  <si>
    <t>%,VS0227</t>
  </si>
  <si>
    <t>Christensen Fund Fellowships</t>
  </si>
  <si>
    <t>%,VS0228</t>
  </si>
  <si>
    <t>INST FOR WOMENS GENDER STUDIES</t>
  </si>
  <si>
    <t>%,VS0229</t>
  </si>
  <si>
    <t>A-B Excellence in Teaching Awd</t>
  </si>
  <si>
    <t>%,VS0231</t>
  </si>
  <si>
    <t>Tao Scholarship</t>
  </si>
  <si>
    <t>%,VS0232</t>
  </si>
  <si>
    <t>Elizabeth Dunlap Book Fund</t>
  </si>
  <si>
    <t>%,VS0233</t>
  </si>
  <si>
    <t>FRANTZEN ENDOWED SCHOLARSHIP</t>
  </si>
  <si>
    <t>%,VS0234</t>
  </si>
  <si>
    <t>POLITICAL SCIENCE ENDOWED SCHL</t>
  </si>
  <si>
    <t>%,VS0235</t>
  </si>
  <si>
    <t>BRIDGE SCHOLARSHIPS/FELLOWSHIP</t>
  </si>
  <si>
    <t>%,VS0236</t>
  </si>
  <si>
    <t>ANDALAFTE MEMORIAL SCHOLARSHIP</t>
  </si>
  <si>
    <t>%,VS0239</t>
  </si>
  <si>
    <t>WALTERS NURSING SCHOLARSHIP</t>
  </si>
  <si>
    <t>%,VS0240</t>
  </si>
  <si>
    <t>WALTERS SCIENCE EDUCATOR SCHLP</t>
  </si>
  <si>
    <t>%,VS0241</t>
  </si>
  <si>
    <t>MARGARET OBERNUEFEMANN FUND</t>
  </si>
  <si>
    <t>%,VS0242</t>
  </si>
  <si>
    <t>KEY WORKFORCE SCHOLARSHIP</t>
  </si>
  <si>
    <t>%,VS0245</t>
  </si>
  <si>
    <t>GRAD RSRCH ACCOMP PRIZE CHEM</t>
  </si>
  <si>
    <t>%,VS0246</t>
  </si>
  <si>
    <t>UP RAILROAD ACQUISITION FUND</t>
  </si>
  <si>
    <t>%,VS0247</t>
  </si>
  <si>
    <t>ICTE ENDOWED FUND</t>
  </si>
  <si>
    <t>%,VS0248</t>
  </si>
  <si>
    <t>SHOPMAKER PROF SPRNGBRD LRNG</t>
  </si>
  <si>
    <t>%,VS0249</t>
  </si>
  <si>
    <t>KENT ENDOWED SCHOLARSHIP</t>
  </si>
  <si>
    <t>%,VS0250</t>
  </si>
  <si>
    <t>GITNER EXCEL IN TEACHING AWARD</t>
  </si>
  <si>
    <t>%,VS0252</t>
  </si>
  <si>
    <t>VICTOR HAUCK SCHLP FD SOC WORK</t>
  </si>
  <si>
    <t>%,VS0253</t>
  </si>
  <si>
    <t>ARTHUR SHAFFER MEML SCHLP FUND</t>
  </si>
  <si>
    <t>%,VS0255</t>
  </si>
  <si>
    <t>TOUHILL ENDOW PERFORM ARTS CTR</t>
  </si>
  <si>
    <t>%,VS0256</t>
  </si>
  <si>
    <t>MAY CO FND ACDMC PRGM COLLECT</t>
  </si>
  <si>
    <t>%,VS0257</t>
  </si>
  <si>
    <t>EDWARD ANDALAFTE MATH FUND</t>
  </si>
  <si>
    <t>%,VS0258</t>
  </si>
  <si>
    <t>CN ENDOWED ACQUISITIONS FUND</t>
  </si>
  <si>
    <t>%,VS0259</t>
  </si>
  <si>
    <t>JAMES V SWIFT - POTT LIBRARY</t>
  </si>
  <si>
    <t>%,VS0260</t>
  </si>
  <si>
    <t>DAGEN FUND - TO SUPPORT KWMU</t>
  </si>
  <si>
    <t>%,VS0261</t>
  </si>
  <si>
    <t>DAGEN SCHOLARSHIP</t>
  </si>
  <si>
    <t>%,VS0262</t>
  </si>
  <si>
    <t>MCGRATH MEMORIAL SCHOLARSHIP</t>
  </si>
  <si>
    <t>%,VS0263</t>
  </si>
  <si>
    <t>MAYNARD FERGUSON MUSIC SCHLP</t>
  </si>
  <si>
    <t>%,VS0264</t>
  </si>
  <si>
    <t>ANDERSON NURSING SCHOLARSHIP</t>
  </si>
  <si>
    <t>%,VS0265</t>
  </si>
  <si>
    <t>CALSYN SCHOLARSHIP</t>
  </si>
  <si>
    <t>%,VS0266</t>
  </si>
  <si>
    <t>ADAM &amp; MCBRADY SCHOLARSHIP</t>
  </si>
  <si>
    <t>%,VS0267</t>
  </si>
  <si>
    <t>ALUMNI ASSOCIATION SCHOLARSHIP</t>
  </si>
  <si>
    <t>%,VS0268</t>
  </si>
  <si>
    <t>BUZZ WESTFALL MEMORIAL SCHLP</t>
  </si>
  <si>
    <t>%,VS0269</t>
  </si>
  <si>
    <t>WICK STRING SCHOLARSHIP</t>
  </si>
  <si>
    <t>%,VS0270</t>
  </si>
  <si>
    <t>RITA SCOTT WMNS BSKTBLL SCHLP</t>
  </si>
  <si>
    <t>%,VS0271</t>
  </si>
  <si>
    <t>BROCK MEMORIAL NURSING SCHLP</t>
  </si>
  <si>
    <t>%,VS0272</t>
  </si>
  <si>
    <t>DEBORAH K BALDINI SCHOLARSHIP</t>
  </si>
  <si>
    <t>%,VS0274</t>
  </si>
  <si>
    <t>BOB BAUMANN PRIZE INTRNTL STDY</t>
  </si>
  <si>
    <t>%,VS0275</t>
  </si>
  <si>
    <t>MCKNIGHT ENDW CUR BARRIGER LIB</t>
  </si>
  <si>
    <t>%,VS0276</t>
  </si>
  <si>
    <t>DENNIS BOHNENKAMP AWARD</t>
  </si>
  <si>
    <t>%,VS0279</t>
  </si>
  <si>
    <t>ERWIN &amp; ADELINE BRANAHL SCHLP</t>
  </si>
  <si>
    <t>%,VS0280</t>
  </si>
  <si>
    <t>ARAI JAPANESE PROGRAM FUND</t>
  </si>
  <si>
    <t>%,FFUND_CODE,TFUND,NTRUE_ENDOW_NONEXP,FPROGRAM_CODE,TGASB_34_35_PROGRAM,X,NENDOWMENT,NLOAN,NRESTGIFTS</t>
  </si>
  <si>
    <t>TOTAL INCOME RESTRICTED</t>
  </si>
  <si>
    <t xml:space="preserve">       TOTAL ENDOWMENT FUNDS</t>
  </si>
  <si>
    <t>QUASI ENDOWMENT FUNDS</t>
  </si>
  <si>
    <t>%,VS0012</t>
  </si>
  <si>
    <t>CHANC COUNCIL SCHOLR</t>
  </si>
  <si>
    <t>%,VS0029</t>
  </si>
  <si>
    <t>GERMAN SCHOLARSHIP</t>
  </si>
  <si>
    <t>%,VS0058</t>
  </si>
  <si>
    <t>MATH SCIENCE SCHLR</t>
  </si>
  <si>
    <t>%,VS0059</t>
  </si>
  <si>
    <t>MONSANTO MATH &amp; SCI</t>
  </si>
  <si>
    <t>%,VS0238</t>
  </si>
  <si>
    <t>MERCANTILE LIBRARY FUND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</si>
  <si>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</si>
  <si>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</si>
  <si>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</si>
  <si>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</si>
  <si>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TOTAL QUASI ENDOWMENT FUNDS</t>
  </si>
  <si>
    <t>UNITRUST, LIFE INCOME AND CHARITABLE GIFT FUNDS</t>
  </si>
  <si>
    <t>UNITRUST FUNDS -</t>
  </si>
  <si>
    <t>%,VS0171</t>
  </si>
  <si>
    <t>A DESLOGE BATES CRAT</t>
  </si>
  <si>
    <t>%,VS0172</t>
  </si>
  <si>
    <t>DES LEE COMM COLLABO</t>
  </si>
  <si>
    <t>%,VS0173</t>
  </si>
  <si>
    <t>DES LEE UMSL SCHP TR</t>
  </si>
  <si>
    <t>%,VS0174</t>
  </si>
  <si>
    <t>DES LEE CRIME &amp; VIOL</t>
  </si>
  <si>
    <t>%,VS0175</t>
  </si>
  <si>
    <t>D LEE ARTS CTR TRUST</t>
  </si>
  <si>
    <t>%,VS0176</t>
  </si>
  <si>
    <t>D LEE CLASSROOM LABS</t>
  </si>
  <si>
    <t>%,VS0177</t>
  </si>
  <si>
    <t>D LEE AFR/AM STUDIES</t>
  </si>
  <si>
    <t>%,VS0178</t>
  </si>
  <si>
    <t>DES LEE LEARN CTR RT</t>
  </si>
  <si>
    <t>%,VS0179</t>
  </si>
  <si>
    <t>MCKNIGHT- BARRIGER</t>
  </si>
  <si>
    <t>%,VS0194</t>
  </si>
  <si>
    <t>DES LEE DISABILITIES</t>
  </si>
  <si>
    <t>%,VS0213</t>
  </si>
  <si>
    <t>Des Lee Women Leader</t>
  </si>
  <si>
    <t>%,VS0214</t>
  </si>
  <si>
    <t>Des Lee Parenting &amp; Family Ed</t>
  </si>
  <si>
    <t>%,VS0224</t>
  </si>
  <si>
    <t>Des Lee Oncology Nursing Trust</t>
  </si>
  <si>
    <t>%,VS0230</t>
  </si>
  <si>
    <t>Aronson Annuity Trust</t>
  </si>
  <si>
    <t>%,VS0237</t>
  </si>
  <si>
    <t>D LEE ART EDUC CONTEMP ART RT</t>
  </si>
  <si>
    <t>%,VS0254</t>
  </si>
  <si>
    <t>CMNTY COLG TEACH ADM LDR TRUST</t>
  </si>
  <si>
    <t>%,VS0273</t>
  </si>
  <si>
    <t>MARY ANN LEE CMNTY COLG 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</si>
  <si>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</si>
  <si>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</si>
  <si>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</si>
  <si>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%,VS0180</t>
  </si>
  <si>
    <t>HAMMER POOLED INCOME</t>
  </si>
  <si>
    <t>%,VS0182</t>
  </si>
  <si>
    <t>SCHWARTZ POOLED INC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</si>
  <si>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</si>
  <si>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</si>
  <si>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</si>
  <si>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</si>
  <si>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</si>
  <si>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</si>
  <si>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</si>
  <si>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</si>
  <si>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</si>
  <si>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</si>
  <si>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</si>
  <si>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</si>
  <si>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</si>
  <si>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</si>
  <si>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</si>
  <si>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%,V392000</t>
  </si>
  <si>
    <t>Revenue Allocations</t>
  </si>
  <si>
    <t>392000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</si>
  <si>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</si>
  <si>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</si>
  <si>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</si>
  <si>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</si>
  <si>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</si>
  <si>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</si>
  <si>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%,V864000</t>
  </si>
  <si>
    <t>Subsidy</t>
  </si>
  <si>
    <t>864000</t>
  </si>
  <si>
    <t>%,V865000</t>
  </si>
  <si>
    <t>Work Study/SEOG</t>
  </si>
  <si>
    <t>865000</t>
  </si>
  <si>
    <t>%,V867000</t>
  </si>
  <si>
    <t>Close out fixed price contract</t>
  </si>
  <si>
    <t>867000</t>
  </si>
  <si>
    <t>%,V868000</t>
  </si>
  <si>
    <t>Other Expenditures</t>
  </si>
  <si>
    <t>868000</t>
  </si>
  <si>
    <t>%,V868300</t>
  </si>
  <si>
    <t>Cont Ed Income Sharing</t>
  </si>
  <si>
    <t>868300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</si>
  <si>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</si>
  <si>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</si>
  <si>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</si>
  <si>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</si>
  <si>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</si>
  <si>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</si>
  <si>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</si>
  <si>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</si>
  <si>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</si>
  <si>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</si>
  <si>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</si>
  <si>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</si>
  <si>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</si>
  <si>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</si>
  <si>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%,V0715</t>
  </si>
  <si>
    <t>%,V0725</t>
  </si>
  <si>
    <t>%,V0730</t>
  </si>
  <si>
    <t>%,V0735</t>
  </si>
  <si>
    <t>%,V0740</t>
  </si>
  <si>
    <t>%,V0760</t>
  </si>
  <si>
    <t>%,V0770</t>
  </si>
  <si>
    <t>%,V0790</t>
  </si>
  <si>
    <t>%,V0795</t>
  </si>
  <si>
    <t>%,V0810</t>
  </si>
  <si>
    <t>%,V0815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</si>
  <si>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</si>
  <si>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</si>
  <si>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</si>
  <si>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</si>
  <si>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</si>
  <si>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</si>
  <si>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</si>
  <si>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</si>
  <si>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Auto Service</t>
  </si>
  <si>
    <t>Campus Plng, Design, Constr</t>
  </si>
  <si>
    <t>Central Mail</t>
  </si>
  <si>
    <t>Chemistry Storeroom</t>
  </si>
  <si>
    <t>Computing Services</t>
  </si>
  <si>
    <t>General Stores</t>
  </si>
  <si>
    <t>Maint, Grds, Build Serv</t>
  </si>
  <si>
    <t>Police/Security Oper</t>
  </si>
  <si>
    <t>Printing</t>
  </si>
  <si>
    <t>Secretarial and Office Support</t>
  </si>
  <si>
    <t>Telecommunications</t>
  </si>
  <si>
    <t>Other Service Oper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</si>
  <si>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</si>
  <si>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</si>
  <si>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</si>
  <si>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</si>
  <si>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</si>
  <si>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</si>
  <si>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</si>
  <si>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</si>
  <si>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</si>
  <si>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</si>
  <si>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</si>
  <si>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Construction In Progress</t>
  </si>
  <si>
    <t>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</si>
  <si>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</si>
  <si>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</si>
  <si>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</si>
  <si>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</si>
  <si>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</si>
  <si>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</si>
  <si>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 xml:space="preserve">University of Missouri - St. Louis                                                           </t>
  </si>
  <si>
    <t xml:space="preserve">              </t>
  </si>
  <si>
    <t xml:space="preserve">BONDS AND NOTES PAYABLE </t>
  </si>
  <si>
    <t>As of June 30, 2004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</si>
  <si>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</si>
  <si>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</si>
  <si>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</si>
  <si>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</si>
  <si>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</si>
  <si>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 xml:space="preserve">Bond Payable:                                                 </t>
  </si>
  <si>
    <t xml:space="preserve"> System Facilities Revenue Bond, Dated November, 1993</t>
  </si>
  <si>
    <t xml:space="preserve">   Interest Rate 3.4% to 5.5%, Due Serially to 2023</t>
  </si>
  <si>
    <t xml:space="preserve"> System Facilities Revenue Bond Dated May, 1997,</t>
  </si>
  <si>
    <t xml:space="preserve">   Interest Rate  4.1% to 5.8%, Due Serially to 2027</t>
  </si>
  <si>
    <t xml:space="preserve"> System Facilities Revenue Bond Dated May, 1998,</t>
  </si>
  <si>
    <t xml:space="preserve">   Interest Rate  3.35% to 5.1%, Due Serially to 2028</t>
  </si>
  <si>
    <t xml:space="preserve"> System Facilities Revenue Bond Dated May, 2000,</t>
  </si>
  <si>
    <t xml:space="preserve">   Fixed Interest Rate 5.03% Series 2000a and Variable </t>
  </si>
  <si>
    <t xml:space="preserve">   Interest Rate Series 2000b, Due Serially to 2030</t>
  </si>
  <si>
    <t xml:space="preserve"> System Facilities Revenue Bond Dated Aug, 2001,</t>
  </si>
  <si>
    <t xml:space="preserve">   Series 2001a Variable Interest Rate, Due Serially to 2031</t>
  </si>
  <si>
    <t xml:space="preserve"> System Facilities Revenue Bond Dated Aug, 2001,                             </t>
  </si>
  <si>
    <t xml:space="preserve">   Series 2001b Fixed Interest Rate 5.12%, Due Serially to 2031</t>
  </si>
  <si>
    <t xml:space="preserve">   (Refunded a Portion of the Outstanding Srs 1997 Bonds)</t>
  </si>
  <si>
    <t xml:space="preserve"> System Facilities Revenue Bond Dated June, 2002,</t>
  </si>
  <si>
    <t xml:space="preserve">   Series 2002a Variable Interest Rate, Due November 2032</t>
  </si>
  <si>
    <t xml:space="preserve"> System Facilities Revenue Bond Dated November, 2003,</t>
  </si>
  <si>
    <t xml:space="preserve">   Series 2003a Fixed Rate, Due November 2031</t>
  </si>
  <si>
    <t xml:space="preserve">   Series 2003b Fixed Rate, Due November 2031</t>
  </si>
  <si>
    <t xml:space="preserve">        Less Unamortized Premium/Discount</t>
  </si>
  <si>
    <t xml:space="preserve">        Less Loss on Defeasance</t>
  </si>
  <si>
    <t xml:space="preserve">             Total Bond Payable                                                          </t>
  </si>
  <si>
    <t>%,AFT,FDEPTID</t>
  </si>
  <si>
    <t>%,LACTUALS,SYTD,R,FACCOUNT,V350000</t>
  </si>
  <si>
    <t>%,QUGL_GASB_AGENCY_REVENUES,CA.POSTED_TOTAL_AMT,SYTD,R</t>
  </si>
  <si>
    <t>%,QUGL_GASB_AGENCY_EXPENSES,CA.POSTED_TOTAL_AMT,SYTD</t>
  </si>
  <si>
    <t>GASB019S</t>
  </si>
  <si>
    <t>FUNDS HELD FOR OTHERS</t>
  </si>
  <si>
    <t>Funds Held by Others</t>
  </si>
  <si>
    <t>Department Description</t>
  </si>
  <si>
    <t>Hide Column in final report - DEPTID</t>
  </si>
  <si>
    <t xml:space="preserve"> </t>
  </si>
  <si>
    <t>%,ATF,FDESCR,UDESCR</t>
  </si>
  <si>
    <t>%,C</t>
  </si>
  <si>
    <t>University of Missouri - St. Louis</t>
  </si>
  <si>
    <t>STATEMENTS OF NET ASSETS</t>
  </si>
  <si>
    <t>As of June 30, 2004 and 2003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</si>
  <si>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</si>
  <si>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</si>
  <si>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</si>
  <si>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</si>
  <si>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</si>
  <si>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</si>
  <si>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</si>
  <si>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</si>
  <si>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Current Notes Receivable, net</t>
  </si>
  <si>
    <t>Inventories</t>
  </si>
  <si>
    <t>Prepaid Expenses and Other Current Assets</t>
  </si>
  <si>
    <t xml:space="preserve">          Total Current Assets</t>
  </si>
  <si>
    <t>Noncurrent Assets:</t>
  </si>
  <si>
    <t>Pledges Receivable, net</t>
  </si>
  <si>
    <t>Notes Receivable, net</t>
  </si>
  <si>
    <t>Deferred Charges and Other Assets*</t>
  </si>
  <si>
    <t>Long Term Investments</t>
  </si>
  <si>
    <t>Capital Assets, net</t>
  </si>
  <si>
    <t xml:space="preserve">          Total Noncurrent Assets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</si>
  <si>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</si>
  <si>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</si>
  <si>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</si>
  <si>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</si>
  <si>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</si>
  <si>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</si>
  <si>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</si>
  <si>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</si>
  <si>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</si>
  <si>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</si>
  <si>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</si>
  <si>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 xml:space="preserve">          Total Current Liabilities</t>
  </si>
  <si>
    <t>Noncurrent Liabilities:</t>
  </si>
  <si>
    <t>Bonds and Notes Payable*</t>
  </si>
  <si>
    <t xml:space="preserve">          Total Noncurrent Liabilities</t>
  </si>
  <si>
    <t>Total Liabilities</t>
  </si>
  <si>
    <t>Net Assets</t>
  </si>
  <si>
    <t>Invested in Capital Assets, Net of Related Debt</t>
  </si>
  <si>
    <t>Restricted:</t>
  </si>
  <si>
    <t>Nonexpendable*</t>
  </si>
  <si>
    <t>Expendable*</t>
  </si>
  <si>
    <t>Unrestricted</t>
  </si>
  <si>
    <t xml:space="preserve">          Total Net Assets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</si>
  <si>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</si>
  <si>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</si>
  <si>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</si>
  <si>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</si>
  <si>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</si>
  <si>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*Certain 2003 balances have been reclassified to conform to the 2004 presentation.</t>
  </si>
  <si>
    <t xml:space="preserve">STATEMENTS OF REVENUES, EXPENSES AND CHANGES IN NET ASSETS </t>
  </si>
  <si>
    <t xml:space="preserve">For the Years Ended June 30, 2004 and 2003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</si>
  <si>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</si>
  <si>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</si>
  <si>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</si>
  <si>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</si>
  <si>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</si>
  <si>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</si>
  <si>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</si>
  <si>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</si>
  <si>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</si>
  <si>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Housing and Dining Services</t>
  </si>
  <si>
    <t xml:space="preserve">   Bookstores</t>
  </si>
  <si>
    <t xml:space="preserve">   Other Auxilliary Enterprises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</si>
  <si>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</si>
  <si>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</si>
  <si>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</si>
  <si>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</si>
  <si>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</si>
  <si>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Benefits*</t>
  </si>
  <si>
    <t>Supplies, Services and Other Operating Expenses*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</si>
  <si>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</si>
  <si>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</si>
  <si>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</si>
  <si>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</si>
  <si>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</si>
  <si>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</si>
  <si>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</si>
  <si>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</si>
  <si>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</si>
  <si>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</si>
  <si>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</si>
  <si>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</si>
  <si>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</si>
  <si>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 xml:space="preserve">    Net Nonoperating Revenues (Expenses) before</t>
  </si>
  <si>
    <t xml:space="preserve">        Capital and Endowment Additions and Transfers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</si>
  <si>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</si>
  <si>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</si>
  <si>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</si>
  <si>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</si>
  <si>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</si>
  <si>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</si>
  <si>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 xml:space="preserve">     Net Other Nonoperating Revenues (Expenses)</t>
  </si>
  <si>
    <t xml:space="preserve">             Increase in Net Assets</t>
  </si>
  <si>
    <t>Net Assets, Beginning of Year</t>
  </si>
  <si>
    <t>Net Assets, End of Year</t>
  </si>
  <si>
    <t>STATEMENTS OF CASH FLOWS</t>
  </si>
  <si>
    <t>For the Years Ended June 30, 2004 and 2003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</si>
  <si>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</si>
  <si>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</si>
  <si>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</si>
  <si>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</si>
  <si>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Bookstore Collections</t>
  </si>
  <si>
    <t>Payments to Suppliers</t>
  </si>
  <si>
    <t>Payments to Employees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</si>
  <si>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</si>
  <si>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</si>
  <si>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</si>
  <si>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</si>
  <si>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</si>
  <si>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</si>
  <si>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</si>
  <si>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</si>
  <si>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</si>
  <si>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Purchase of Investments, net of Sales and Maturities</t>
  </si>
  <si>
    <t>Net Cash Provided by (Used In) Investing Activities</t>
  </si>
  <si>
    <t>Cash Flows from Capital and Related Financing Activities:</t>
  </si>
  <si>
    <t>Capital State Appropriations</t>
  </si>
  <si>
    <t>Proceeds from Sales of Capital Assets</t>
  </si>
  <si>
    <t>Purchase of Capital Assets</t>
  </si>
  <si>
    <t>Proceeds from Issuance of Capital Debt, net</t>
  </si>
  <si>
    <t>Principal Payments on Capital Debt</t>
  </si>
  <si>
    <t>Escrow Deposit on Defeasance</t>
  </si>
  <si>
    <t>Payments on Cost of Debt Issuance</t>
  </si>
  <si>
    <t>Interest Payments on Capital Debt</t>
  </si>
  <si>
    <t>Net Cash Provided by (Used in)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</si>
  <si>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</si>
  <si>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</si>
  <si>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</si>
  <si>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</si>
  <si>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</si>
  <si>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</si>
  <si>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</si>
  <si>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</si>
  <si>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</si>
  <si>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</si>
  <si>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</si>
  <si>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</si>
  <si>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</si>
  <si>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</si>
  <si>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</si>
  <si>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</si>
  <si>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</si>
  <si>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</si>
  <si>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</si>
  <si>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</si>
  <si>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</si>
  <si>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</si>
  <si>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</si>
  <si>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</si>
  <si>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</si>
  <si>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</si>
  <si>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</si>
  <si>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</si>
  <si>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</si>
  <si>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</si>
  <si>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</si>
  <si>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</si>
  <si>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</si>
  <si>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</si>
  <si>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</si>
  <si>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</si>
  <si>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</si>
  <si>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</si>
  <si>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</si>
  <si>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</si>
  <si>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2004-06-30</t>
  </si>
  <si>
    <t>St. Louis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</si>
  <si>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</si>
  <si>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</si>
  <si>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</si>
  <si>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</si>
  <si>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</si>
  <si>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</si>
  <si>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</si>
  <si>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</si>
  <si>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</si>
  <si>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</si>
  <si>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</si>
  <si>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</si>
  <si>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</si>
  <si>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</si>
  <si>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</si>
  <si>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</si>
  <si>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</si>
  <si>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</si>
  <si>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</si>
  <si>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</si>
  <si>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</si>
  <si>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</si>
  <si>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</si>
  <si>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</si>
  <si>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</si>
  <si>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%,V113000</t>
  </si>
  <si>
    <t>Cash in transit</t>
  </si>
  <si>
    <t>113000</t>
  </si>
  <si>
    <t>%,V121000</t>
  </si>
  <si>
    <t>Temp Invest - Gen Pool 2</t>
  </si>
  <si>
    <t>121000</t>
  </si>
  <si>
    <t>%,V121400</t>
  </si>
  <si>
    <t>Temp investments-miscellaneous</t>
  </si>
  <si>
    <t>121400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</si>
  <si>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</si>
  <si>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</si>
  <si>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</si>
  <si>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</si>
  <si>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</si>
  <si>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</si>
  <si>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</si>
  <si>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</si>
  <si>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</si>
  <si>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</si>
  <si>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</si>
  <si>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</si>
  <si>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</si>
  <si>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</si>
  <si>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</si>
  <si>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</si>
  <si>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</si>
  <si>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</si>
  <si>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</si>
  <si>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</si>
  <si>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</si>
  <si>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</si>
  <si>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</si>
  <si>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</si>
  <si>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</si>
  <si>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</si>
  <si>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</si>
  <si>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</si>
  <si>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</si>
  <si>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</si>
  <si>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</si>
  <si>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</si>
  <si>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</si>
  <si>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</si>
  <si>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</si>
  <si>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</si>
  <si>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</si>
  <si>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</si>
  <si>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</si>
  <si>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%,V132500</t>
  </si>
  <si>
    <t>Accts rec - miscellaneous</t>
  </si>
  <si>
    <t>132500</t>
  </si>
  <si>
    <t>%,V140000</t>
  </si>
  <si>
    <t>Allow for uncoll student accts</t>
  </si>
  <si>
    <t>140000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</si>
  <si>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</si>
  <si>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</si>
  <si>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</si>
  <si>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</si>
  <si>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</si>
  <si>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</si>
  <si>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</si>
  <si>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</si>
  <si>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</si>
  <si>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</si>
  <si>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</si>
  <si>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</si>
  <si>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</si>
  <si>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</si>
  <si>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</si>
  <si>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</si>
  <si>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</si>
  <si>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%,FACCOUNT,TGASB_34_35,X,NCURRENT NOTES REC</t>
  </si>
  <si>
    <t>%,FACCOUNT,TGASB_34_35,X,NDUE FROM OTHER FUNDS</t>
  </si>
  <si>
    <t>Due from Other Funds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</si>
  <si>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</si>
  <si>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</si>
  <si>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</si>
  <si>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</si>
  <si>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</si>
  <si>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</si>
  <si>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</si>
  <si>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</si>
  <si>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</si>
  <si>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</si>
  <si>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</si>
  <si>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</si>
  <si>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</si>
  <si>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</si>
  <si>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</si>
  <si>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</si>
  <si>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</si>
  <si>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</si>
  <si>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</si>
  <si>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%,V165100</t>
  </si>
  <si>
    <t>Bond issue cost</t>
  </si>
  <si>
    <t>165100</t>
  </si>
  <si>
    <t>%,FACCOUNT,TGASB_34_35,X,NDEFERRED AND OTHER</t>
  </si>
  <si>
    <t>Deferred Charges and Other Assets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</si>
  <si>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</si>
  <si>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</si>
  <si>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</si>
  <si>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</si>
  <si>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</si>
  <si>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</si>
  <si>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</si>
  <si>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</si>
  <si>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</si>
  <si>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%,V122750</t>
  </si>
  <si>
    <t>Long Term Inv-Art &amp; Museum Obj</t>
  </si>
  <si>
    <t>122750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</si>
  <si>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</si>
  <si>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</si>
  <si>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</si>
  <si>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</si>
  <si>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</si>
  <si>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</si>
  <si>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</si>
  <si>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</si>
  <si>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</si>
  <si>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</si>
  <si>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</si>
  <si>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</si>
  <si>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</si>
  <si>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</si>
  <si>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</si>
  <si>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</si>
  <si>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</si>
  <si>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</si>
  <si>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</si>
  <si>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</si>
  <si>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</si>
  <si>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</si>
  <si>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</si>
  <si>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</si>
  <si>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</si>
  <si>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</si>
  <si>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</si>
  <si>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</si>
  <si>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%,V176000</t>
  </si>
  <si>
    <t>Books</t>
  </si>
  <si>
    <t>176000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</si>
  <si>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</si>
  <si>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</si>
  <si>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</si>
  <si>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</si>
  <si>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</si>
  <si>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</si>
  <si>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</si>
  <si>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</si>
  <si>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</si>
  <si>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</si>
  <si>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</si>
  <si>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</si>
  <si>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</si>
  <si>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%,V211002</t>
  </si>
  <si>
    <t>Auxiliary accounts payable</t>
  </si>
  <si>
    <t>211002</t>
  </si>
  <si>
    <t>%,V211003</t>
  </si>
  <si>
    <t>Estimated payables</t>
  </si>
  <si>
    <t>211003</t>
  </si>
  <si>
    <t>%,V215000</t>
  </si>
  <si>
    <t>Missouri 2% Entertainment Tax</t>
  </si>
  <si>
    <t>215000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</si>
  <si>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</si>
  <si>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</si>
  <si>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</si>
  <si>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</si>
  <si>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</si>
  <si>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</si>
  <si>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</si>
  <si>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</si>
  <si>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</si>
  <si>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</si>
  <si>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</si>
  <si>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</si>
  <si>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</si>
  <si>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</si>
  <si>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</si>
  <si>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</si>
  <si>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</si>
  <si>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</si>
  <si>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</si>
  <si>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</si>
  <si>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</si>
  <si>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</si>
  <si>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</si>
  <si>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</si>
  <si>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</si>
  <si>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</si>
  <si>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</si>
  <si>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</si>
  <si>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</si>
  <si>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</si>
  <si>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</si>
  <si>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</si>
  <si>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</si>
  <si>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</si>
  <si>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</si>
  <si>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</si>
  <si>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</si>
  <si>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</si>
  <si>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</si>
  <si>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</si>
  <si>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</si>
  <si>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Due to Other Funds</t>
  </si>
  <si>
    <t>%,R,FACCOUNT,TGASB_34_35,X,NDEFERRED REVENUE</t>
  </si>
  <si>
    <t>%,R,FACCOUNT,TGASB_34_35,X,NCAPITAL LEASE OBLIG</t>
  </si>
  <si>
    <t>Capital Lease Obligations</t>
  </si>
  <si>
    <t>%,V162000</t>
  </si>
  <si>
    <t>Discount on bonds pay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</si>
  <si>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</si>
  <si>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</si>
  <si>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</si>
  <si>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</si>
  <si>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</si>
  <si>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</si>
  <si>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</si>
  <si>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</si>
  <si>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>Bonds and Notes Payable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</si>
  <si>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</si>
  <si>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</si>
  <si>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</si>
  <si>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</si>
  <si>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</si>
  <si>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</si>
  <si>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</si>
  <si>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  Total Net Assets</t>
  </si>
  <si>
    <t>%,QKRDJ_UGL_GASB_35_FIN_STMTS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</si>
  <si>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</si>
  <si>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</si>
  <si>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</si>
  <si>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</si>
  <si>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</si>
  <si>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</si>
  <si>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</si>
  <si>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%,V403000</t>
  </si>
  <si>
    <t>Ext noncredit oncampus</t>
  </si>
  <si>
    <t>403000</t>
  </si>
  <si>
    <t>%,V405000</t>
  </si>
  <si>
    <t>Other misc educational fees</t>
  </si>
  <si>
    <t>405000</t>
  </si>
  <si>
    <t>%,R,FACCOUNT,TGASB_34_35,X,NSTUDENT FEES</t>
  </si>
  <si>
    <t>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</si>
  <si>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</si>
  <si>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</si>
  <si>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</si>
  <si>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</si>
  <si>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</si>
  <si>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</si>
  <si>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</si>
  <si>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</si>
  <si>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</si>
  <si>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</si>
  <si>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</si>
  <si>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</si>
  <si>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</si>
  <si>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</si>
  <si>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</si>
  <si>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%,V760500</t>
  </si>
  <si>
    <t>Professional resident</t>
  </si>
  <si>
    <t>760500</t>
  </si>
  <si>
    <t>%,V760600</t>
  </si>
  <si>
    <t>Professional non resident</t>
  </si>
  <si>
    <t>760600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</si>
  <si>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</si>
  <si>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</si>
  <si>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</si>
  <si>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</si>
  <si>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</si>
  <si>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</si>
  <si>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</si>
  <si>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</si>
  <si>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</si>
  <si>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</si>
  <si>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</si>
  <si>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</si>
  <si>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</si>
  <si>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</si>
  <si>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</si>
  <si>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</si>
  <si>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</si>
  <si>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</si>
  <si>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</si>
  <si>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</si>
  <si>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</si>
  <si>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>%,R,FACCOUNT,TGASB_34_35,X,NPATIENT MED SERV</t>
  </si>
  <si>
    <t xml:space="preserve">   Other Medical Services</t>
  </si>
  <si>
    <t xml:space="preserve">   Other Auxiliary Enterprises</t>
  </si>
  <si>
    <t>%,V440100</t>
  </si>
  <si>
    <t>Interest cxld-total cancell</t>
  </si>
  <si>
    <t>440100</t>
  </si>
  <si>
    <t>%,V440200</t>
  </si>
  <si>
    <t>Interest notes rec - collected</t>
  </si>
  <si>
    <t>440200</t>
  </si>
  <si>
    <t>%,V441000</t>
  </si>
  <si>
    <t>Principal-not rec-teach canc&gt;</t>
  </si>
  <si>
    <t>441000</t>
  </si>
  <si>
    <t>%,V441200</t>
  </si>
  <si>
    <t>Principal-notes rec-law enforc</t>
  </si>
  <si>
    <t>441200</t>
  </si>
  <si>
    <t>%,V441300</t>
  </si>
  <si>
    <t>Principal-notes rec-teach-cert</t>
  </si>
  <si>
    <t>441300</t>
  </si>
  <si>
    <t>%,V441400</t>
  </si>
  <si>
    <t>Principal-notes rec-nurse/medt</t>
  </si>
  <si>
    <t>441400</t>
  </si>
  <si>
    <t>%,V441600</t>
  </si>
  <si>
    <t>Principal-notes rec-chld/fam/e</t>
  </si>
  <si>
    <t>441600</t>
  </si>
  <si>
    <t>%,V891400</t>
  </si>
  <si>
    <t>Prin canc-univ loan bad debt</t>
  </si>
  <si>
    <t>891400</t>
  </si>
  <si>
    <t>%,V891500</t>
  </si>
  <si>
    <t>Prin cancellation-assigned</t>
  </si>
  <si>
    <t>891500</t>
  </si>
  <si>
    <t>%,V891900</t>
  </si>
  <si>
    <t>Prin cancel-teacher &gt;7/1/72</t>
  </si>
  <si>
    <t>891900</t>
  </si>
  <si>
    <t>%,V892100</t>
  </si>
  <si>
    <t>Prin cancel-law enforcement</t>
  </si>
  <si>
    <t>892100</t>
  </si>
  <si>
    <t>%,V892200</t>
  </si>
  <si>
    <t>Prin canc-teacher-certain sub</t>
  </si>
  <si>
    <t>892200</t>
  </si>
  <si>
    <t>%,V892300</t>
  </si>
  <si>
    <t>Prin cancel-nurse/med tech</t>
  </si>
  <si>
    <t>892300</t>
  </si>
  <si>
    <t>%,V892500</t>
  </si>
  <si>
    <t>Prin cancellation-HRI/EI</t>
  </si>
  <si>
    <t>892500</t>
  </si>
  <si>
    <t>%,V893300</t>
  </si>
  <si>
    <t>Int cancellation-assigned</t>
  </si>
  <si>
    <t>893300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</si>
  <si>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</si>
  <si>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</si>
  <si>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</si>
  <si>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</si>
  <si>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</si>
  <si>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</si>
  <si>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</si>
  <si>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</si>
  <si>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</si>
  <si>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</si>
  <si>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%,V981000</t>
  </si>
  <si>
    <t>Indirect Costs-Grantor</t>
  </si>
  <si>
    <t>981000</t>
  </si>
  <si>
    <t>%,V993000</t>
  </si>
  <si>
    <t>Cost Shar Ofsts-IDC C/S Granto</t>
  </si>
  <si>
    <t>993000</t>
  </si>
  <si>
    <t>%,R,FACCOUNT,TGASB_34_35,X,NOTHER OPERATING REV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</si>
  <si>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</si>
  <si>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</si>
  <si>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</si>
  <si>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</si>
  <si>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</si>
  <si>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</si>
  <si>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</si>
  <si>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</si>
  <si>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</si>
  <si>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</si>
  <si>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</si>
  <si>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</si>
  <si>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</si>
  <si>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</si>
  <si>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</si>
  <si>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</si>
  <si>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</si>
  <si>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</si>
  <si>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</si>
  <si>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</si>
  <si>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</si>
  <si>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</si>
  <si>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</si>
  <si>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</si>
  <si>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</si>
  <si>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</si>
  <si>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</si>
  <si>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</si>
  <si>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</si>
  <si>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</si>
  <si>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</si>
  <si>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</si>
  <si>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</si>
  <si>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</si>
  <si>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</si>
  <si>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</si>
  <si>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</si>
  <si>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</si>
  <si>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</si>
  <si>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%,FACCOUNT,TGASB_34_35,X,NSALARIES</t>
  </si>
  <si>
    <t>%,V710000</t>
  </si>
  <si>
    <t>Staff Benefits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</si>
  <si>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</si>
  <si>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</si>
  <si>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</si>
  <si>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</si>
  <si>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</si>
  <si>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</si>
  <si>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</si>
  <si>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</si>
  <si>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</si>
  <si>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</si>
  <si>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</si>
  <si>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</si>
  <si>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</si>
  <si>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</si>
  <si>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</si>
  <si>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</si>
  <si>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</si>
  <si>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</si>
  <si>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</si>
  <si>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</si>
  <si>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</si>
  <si>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</si>
  <si>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</si>
  <si>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</si>
  <si>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</si>
  <si>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</si>
  <si>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</si>
  <si>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</si>
  <si>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</si>
  <si>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</si>
  <si>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</si>
  <si>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</si>
  <si>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</si>
  <si>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</si>
  <si>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%,V714000</t>
  </si>
  <si>
    <t>SB-Educational assist-summer</t>
  </si>
  <si>
    <t>714000</t>
  </si>
  <si>
    <t>%,V715000</t>
  </si>
  <si>
    <t>SB-Moving expense</t>
  </si>
  <si>
    <t>715000</t>
  </si>
  <si>
    <t>%,V716000</t>
  </si>
  <si>
    <t>SB-In kind room &amp; board</t>
  </si>
  <si>
    <t>716000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</si>
  <si>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</si>
  <si>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</si>
  <si>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</si>
  <si>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</si>
  <si>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</si>
  <si>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</si>
  <si>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</si>
  <si>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</si>
  <si>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</si>
  <si>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</si>
  <si>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%,V450010</t>
  </si>
  <si>
    <t>Suspense items-feeders</t>
  </si>
  <si>
    <t>450010</t>
  </si>
  <si>
    <t>%,V450600</t>
  </si>
  <si>
    <t>X-Ray</t>
  </si>
  <si>
    <t>450600</t>
  </si>
  <si>
    <t>%,V600000</t>
  </si>
  <si>
    <t>Cost of Goods Sold</t>
  </si>
  <si>
    <t>600000</t>
  </si>
  <si>
    <t>%,V600800</t>
  </si>
  <si>
    <t>COGS Computer supplies</t>
  </si>
  <si>
    <t>600800</t>
  </si>
  <si>
    <t>%,V601300</t>
  </si>
  <si>
    <t>COGS Food</t>
  </si>
  <si>
    <t>601300</t>
  </si>
  <si>
    <t>%,V601400</t>
  </si>
  <si>
    <t>COGS Freight</t>
  </si>
  <si>
    <t>601400</t>
  </si>
  <si>
    <t>%,V603000</t>
  </si>
  <si>
    <t>COGS Paper</t>
  </si>
  <si>
    <t>603000</t>
  </si>
  <si>
    <t>%,V603100</t>
  </si>
  <si>
    <t>COGS Printing</t>
  </si>
  <si>
    <t>603100</t>
  </si>
  <si>
    <t>%,V603700</t>
  </si>
  <si>
    <t>COGS Software</t>
  </si>
  <si>
    <t>603700</t>
  </si>
  <si>
    <t>%,V603800</t>
  </si>
  <si>
    <t>COGS Supplies</t>
  </si>
  <si>
    <t>603800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</si>
  <si>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</si>
  <si>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</si>
  <si>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</si>
  <si>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</si>
  <si>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</si>
  <si>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</si>
  <si>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</si>
  <si>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</si>
  <si>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</si>
  <si>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</si>
  <si>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</si>
  <si>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</si>
  <si>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</si>
  <si>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</si>
  <si>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</si>
  <si>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</si>
  <si>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</si>
  <si>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</si>
  <si>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%,V721420</t>
  </si>
  <si>
    <t>Commercial Travel</t>
  </si>
  <si>
    <t>721420</t>
  </si>
  <si>
    <t>%,V721430</t>
  </si>
  <si>
    <t>Team Travel</t>
  </si>
  <si>
    <t>721430</t>
  </si>
  <si>
    <t>%,V721440</t>
  </si>
  <si>
    <t>Big 12/NCAA Travel</t>
  </si>
  <si>
    <t>721440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</si>
  <si>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</si>
  <si>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</si>
  <si>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</si>
  <si>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</si>
  <si>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</si>
  <si>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</si>
  <si>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</si>
  <si>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</si>
  <si>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</si>
  <si>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</si>
  <si>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</si>
  <si>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</si>
  <si>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</si>
  <si>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</si>
  <si>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</si>
  <si>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</si>
  <si>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</si>
  <si>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</si>
  <si>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</si>
  <si>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</si>
  <si>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</si>
  <si>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</si>
  <si>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</si>
  <si>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</si>
  <si>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</si>
  <si>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</si>
  <si>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</si>
  <si>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</si>
  <si>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</si>
  <si>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</si>
  <si>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</si>
  <si>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</si>
  <si>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</si>
  <si>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</si>
  <si>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</si>
  <si>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</si>
  <si>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</si>
  <si>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</si>
  <si>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</si>
  <si>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</si>
  <si>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</si>
  <si>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</si>
  <si>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</si>
  <si>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</si>
  <si>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</si>
  <si>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</si>
  <si>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</si>
  <si>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</si>
  <si>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</si>
  <si>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</si>
  <si>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</si>
  <si>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</si>
  <si>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</si>
  <si>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</si>
  <si>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</si>
  <si>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</si>
  <si>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</si>
  <si>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</si>
  <si>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</si>
  <si>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</si>
  <si>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</si>
  <si>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</si>
  <si>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</si>
  <si>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</si>
  <si>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</si>
  <si>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</si>
  <si>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</si>
  <si>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</si>
  <si>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</si>
  <si>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</si>
  <si>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</si>
  <si>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</si>
  <si>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</si>
  <si>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</si>
  <si>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</si>
  <si>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%,V724900</t>
  </si>
  <si>
    <t>Telephone A-21 Exclusion</t>
  </si>
  <si>
    <t>724900</t>
  </si>
  <si>
    <t>%,V725000</t>
  </si>
  <si>
    <t>Marketing/advertising expense</t>
  </si>
  <si>
    <t>725000</t>
  </si>
  <si>
    <t>%,V725100</t>
  </si>
  <si>
    <t>Advertising</t>
  </si>
  <si>
    <t>725100</t>
  </si>
  <si>
    <t>%,V725200</t>
  </si>
  <si>
    <t>TV advertising</t>
  </si>
  <si>
    <t>725200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</si>
  <si>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</si>
  <si>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</si>
  <si>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</si>
  <si>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</si>
  <si>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</si>
  <si>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</si>
  <si>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</si>
  <si>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</si>
  <si>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</si>
  <si>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</si>
  <si>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</si>
  <si>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</si>
  <si>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</si>
  <si>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</si>
  <si>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</si>
  <si>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</si>
  <si>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</si>
  <si>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</si>
  <si>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</si>
  <si>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</si>
  <si>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</si>
  <si>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</si>
  <si>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</si>
  <si>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</si>
  <si>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</si>
  <si>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</si>
  <si>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</si>
  <si>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</si>
  <si>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</si>
  <si>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</si>
  <si>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</si>
  <si>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</si>
  <si>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</si>
  <si>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%,V730120</t>
  </si>
  <si>
    <t>Merchandise Variance</t>
  </si>
  <si>
    <t>730120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</si>
  <si>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</si>
  <si>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</si>
  <si>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</si>
  <si>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</si>
  <si>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</si>
  <si>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</si>
  <si>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</si>
  <si>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</si>
  <si>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</si>
  <si>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</si>
  <si>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</si>
  <si>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</si>
  <si>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</si>
  <si>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</si>
  <si>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</si>
  <si>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</si>
  <si>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</si>
  <si>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</si>
  <si>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</si>
  <si>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</si>
  <si>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</si>
  <si>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</si>
  <si>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</si>
  <si>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</si>
  <si>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</si>
  <si>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</si>
  <si>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</si>
  <si>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</si>
  <si>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</si>
  <si>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</si>
  <si>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</si>
  <si>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</si>
  <si>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</si>
  <si>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</si>
  <si>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</si>
  <si>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</si>
  <si>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</si>
  <si>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</si>
  <si>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</si>
  <si>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</si>
  <si>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</si>
  <si>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</si>
  <si>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</si>
  <si>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</si>
  <si>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</si>
  <si>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</si>
  <si>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</si>
  <si>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</si>
  <si>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</si>
  <si>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</si>
  <si>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</si>
  <si>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%,V731740</t>
  </si>
  <si>
    <t>Research Animals Misc</t>
  </si>
  <si>
    <t>731740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</si>
  <si>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</si>
  <si>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</si>
  <si>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</si>
  <si>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</si>
  <si>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</si>
  <si>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</si>
  <si>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</si>
  <si>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</si>
  <si>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</si>
  <si>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</si>
  <si>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</si>
  <si>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</si>
  <si>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</si>
  <si>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</si>
  <si>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</si>
  <si>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</si>
  <si>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</si>
  <si>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</si>
  <si>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%,V732600</t>
  </si>
  <si>
    <t>Food stores - groceries</t>
  </si>
  <si>
    <t>732600</t>
  </si>
  <si>
    <t>%,V732800</t>
  </si>
  <si>
    <t>Food stores - other</t>
  </si>
  <si>
    <t>732800</t>
  </si>
  <si>
    <t>%,V733600</t>
  </si>
  <si>
    <t>Reproduction supplies</t>
  </si>
  <si>
    <t>733600</t>
  </si>
  <si>
    <t>%,V733700</t>
  </si>
  <si>
    <t>Non-medical supplies</t>
  </si>
  <si>
    <t>733700</t>
  </si>
  <si>
    <t>%,V733800</t>
  </si>
  <si>
    <t>Radiology supplies</t>
  </si>
  <si>
    <t>733800</t>
  </si>
  <si>
    <t>%,V733870</t>
  </si>
  <si>
    <t>Drugs</t>
  </si>
  <si>
    <t>733870</t>
  </si>
  <si>
    <t>%,V734000</t>
  </si>
  <si>
    <t>Photography dark room supplies</t>
  </si>
  <si>
    <t>734000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</si>
  <si>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</si>
  <si>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</si>
  <si>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</si>
  <si>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</si>
  <si>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</si>
  <si>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</si>
  <si>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</si>
  <si>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</si>
  <si>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</si>
  <si>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</si>
  <si>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</si>
  <si>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</si>
  <si>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</si>
  <si>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</si>
  <si>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</si>
  <si>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</si>
  <si>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</si>
  <si>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</si>
  <si>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</si>
  <si>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</si>
  <si>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</si>
  <si>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</si>
  <si>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</si>
  <si>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</si>
  <si>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</si>
  <si>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</si>
  <si>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</si>
  <si>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</si>
  <si>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</si>
  <si>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</si>
  <si>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%,V739500</t>
  </si>
  <si>
    <t>Data port charges reimbursable</t>
  </si>
  <si>
    <t>739500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</si>
  <si>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</si>
  <si>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</si>
  <si>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</si>
  <si>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</si>
  <si>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</si>
  <si>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</si>
  <si>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</si>
  <si>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</si>
  <si>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</si>
  <si>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%,V740002</t>
  </si>
  <si>
    <t>Non-capital equipment</t>
  </si>
  <si>
    <t>740002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</si>
  <si>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</si>
  <si>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</si>
  <si>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</si>
  <si>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</si>
  <si>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</si>
  <si>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</si>
  <si>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</si>
  <si>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</si>
  <si>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</si>
  <si>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</si>
  <si>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</si>
  <si>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</si>
  <si>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</si>
  <si>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</si>
  <si>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</si>
  <si>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</si>
  <si>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</si>
  <si>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</si>
  <si>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</si>
  <si>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</si>
  <si>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</si>
  <si>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%,V740900</t>
  </si>
  <si>
    <t>Misc Facilities Charges &lt; 5000</t>
  </si>
  <si>
    <t>740900</t>
  </si>
  <si>
    <t>%,V741400</t>
  </si>
  <si>
    <t>Fertilizer &amp; chemicals</t>
  </si>
  <si>
    <t>741400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</si>
  <si>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</si>
  <si>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</si>
  <si>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</si>
  <si>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</si>
  <si>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</si>
  <si>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</si>
  <si>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%,V741620</t>
  </si>
  <si>
    <t>Rent Patient Tables/Mattresses</t>
  </si>
  <si>
    <t>741620</t>
  </si>
  <si>
    <t>%,V742000</t>
  </si>
  <si>
    <t>Other misc expense</t>
  </si>
  <si>
    <t>742000</t>
  </si>
  <si>
    <t>%,V742100</t>
  </si>
  <si>
    <t>Interest expense-internal loan</t>
  </si>
  <si>
    <t>742100</t>
  </si>
  <si>
    <t>%,V742101</t>
  </si>
  <si>
    <t>Vendor Discounts-Earned/Lost</t>
  </si>
  <si>
    <t>742101</t>
  </si>
  <si>
    <t>%,V742300</t>
  </si>
  <si>
    <t>Contracts</t>
  </si>
  <si>
    <t>742300</t>
  </si>
  <si>
    <t>%,V742400</t>
  </si>
  <si>
    <t>Payouts</t>
  </si>
  <si>
    <t>742400</t>
  </si>
  <si>
    <t>%,V742600</t>
  </si>
  <si>
    <t>Service charge</t>
  </si>
  <si>
    <t>742600</t>
  </si>
  <si>
    <t>%,V742860</t>
  </si>
  <si>
    <t>Bad Debt Expense</t>
  </si>
  <si>
    <t>742860</t>
  </si>
  <si>
    <t>%,V743100</t>
  </si>
  <si>
    <t>Field day</t>
  </si>
  <si>
    <t>743100</t>
  </si>
  <si>
    <t>%,V743200</t>
  </si>
  <si>
    <t>Awards</t>
  </si>
  <si>
    <t>743200</t>
  </si>
  <si>
    <t>%,V743300</t>
  </si>
  <si>
    <t>Other dept exp A-21 exclusion</t>
  </si>
  <si>
    <t>743300</t>
  </si>
  <si>
    <t>%,V743500</t>
  </si>
  <si>
    <t>Book loan</t>
  </si>
  <si>
    <t>743500</t>
  </si>
  <si>
    <t>%,V743600</t>
  </si>
  <si>
    <t>Bank service charges</t>
  </si>
  <si>
    <t>743600</t>
  </si>
  <si>
    <t>%,V743700</t>
  </si>
  <si>
    <t>Credit card charges</t>
  </si>
  <si>
    <t>743700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</si>
  <si>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</si>
  <si>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</si>
  <si>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</si>
  <si>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</si>
  <si>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</si>
  <si>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</si>
  <si>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</si>
  <si>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</si>
  <si>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</si>
  <si>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</si>
  <si>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</si>
  <si>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</si>
  <si>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</si>
  <si>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</si>
  <si>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</si>
  <si>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</si>
  <si>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</si>
  <si>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</si>
  <si>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</si>
  <si>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</si>
  <si>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</si>
  <si>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</si>
  <si>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</si>
  <si>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</si>
  <si>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</si>
  <si>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</si>
  <si>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</si>
  <si>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</si>
  <si>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</si>
  <si>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</si>
  <si>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</si>
  <si>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</si>
  <si>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</si>
  <si>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</si>
  <si>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</si>
  <si>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</si>
  <si>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</si>
  <si>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</si>
  <si>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</si>
  <si>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%,V751200</t>
  </si>
  <si>
    <t>Continuing Ed Support</t>
  </si>
  <si>
    <t>751200</t>
  </si>
  <si>
    <t>%,V751300</t>
  </si>
  <si>
    <t>Speaker honorium</t>
  </si>
  <si>
    <t>751300</t>
  </si>
  <si>
    <t>%,V751400</t>
  </si>
  <si>
    <t>Profess Serv-A-21 exclusion</t>
  </si>
  <si>
    <t>751400</t>
  </si>
  <si>
    <t>%,V753100</t>
  </si>
  <si>
    <t>Hosp-physicians fees(internal)</t>
  </si>
  <si>
    <t>753100</t>
  </si>
  <si>
    <t>%,V755000</t>
  </si>
  <si>
    <t>Use fees</t>
  </si>
  <si>
    <t>755000</t>
  </si>
  <si>
    <t>%,V765001</t>
  </si>
  <si>
    <t>Subcontracts &lt;$25,000</t>
  </si>
  <si>
    <t>765001</t>
  </si>
  <si>
    <t>%,V765100</t>
  </si>
  <si>
    <t>Subcontract &lt;$25,000-higher ed</t>
  </si>
  <si>
    <t>765100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</si>
  <si>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</si>
  <si>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</si>
  <si>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</si>
  <si>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</si>
  <si>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</si>
  <si>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</si>
  <si>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</si>
  <si>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</si>
  <si>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</si>
  <si>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</si>
  <si>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</si>
  <si>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</si>
  <si>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%,V789100</t>
  </si>
  <si>
    <t>M &amp; R Pat Care Equip - Non Cap</t>
  </si>
  <si>
    <t>789100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</si>
  <si>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</si>
  <si>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</si>
  <si>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</si>
  <si>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</si>
  <si>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</si>
  <si>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</si>
  <si>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</si>
  <si>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</si>
  <si>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</si>
  <si>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</si>
  <si>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</si>
  <si>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</si>
  <si>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</si>
  <si>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</si>
  <si>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</si>
  <si>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%,V789530</t>
  </si>
  <si>
    <t>Rent/Lease Sp &amp; Cap Eq A-21</t>
  </si>
  <si>
    <t>789530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</si>
  <si>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</si>
  <si>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</si>
  <si>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</si>
  <si>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</si>
  <si>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</si>
  <si>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</si>
  <si>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</si>
  <si>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</si>
  <si>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</si>
  <si>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</si>
  <si>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</si>
  <si>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</si>
  <si>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</si>
  <si>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</si>
  <si>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</si>
  <si>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</si>
  <si>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</si>
  <si>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</si>
  <si>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</si>
  <si>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</si>
  <si>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</si>
  <si>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</si>
  <si>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</si>
  <si>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</si>
  <si>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</si>
  <si>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</si>
  <si>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</si>
  <si>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%,V810500</t>
  </si>
  <si>
    <t>Vendor natural gas</t>
  </si>
  <si>
    <t>810500</t>
  </si>
  <si>
    <t>%,V810800</t>
  </si>
  <si>
    <t>Vendor - Cable TV Services</t>
  </si>
  <si>
    <t>810800</t>
  </si>
  <si>
    <t>%,V822200</t>
  </si>
  <si>
    <t>Loss/Gain on assets - AM</t>
  </si>
  <si>
    <t>822200</t>
  </si>
  <si>
    <t>%,V863100</t>
  </si>
  <si>
    <t>Full costing</t>
  </si>
  <si>
    <t>863100</t>
  </si>
  <si>
    <t>%,V863200</t>
  </si>
  <si>
    <t>Full costing (capital pool)</t>
  </si>
  <si>
    <t>863200</t>
  </si>
  <si>
    <t>%,V893800</t>
  </si>
  <si>
    <t>Legal expense</t>
  </si>
  <si>
    <t>893800</t>
  </si>
  <si>
    <t>%,V895000</t>
  </si>
  <si>
    <t>Custodian fees/bank fees</t>
  </si>
  <si>
    <t>895000</t>
  </si>
  <si>
    <t>%,V914000</t>
  </si>
  <si>
    <t>Investment in plant-rec debt</t>
  </si>
  <si>
    <t>914000</t>
  </si>
  <si>
    <t>%,FACCOUNT,TGASB_34_35,X,NAUX &amp; EDUC ACTIV,NINVESTMENT IN PLANT,NOTHER DEPT OPERATING,NPROFESSIONAL &amp; CONSU,NSUPPLY_NONCAP ASSET,NUTILITIES,NSELF INSURANCE BENE</t>
  </si>
  <si>
    <t>Supplies, Services and Other Operating Expenses</t>
  </si>
  <si>
    <t>%,V764000</t>
  </si>
  <si>
    <t>GASB35 Scholar&amp;Fellow Primary</t>
  </si>
  <si>
    <t>764000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</si>
  <si>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</si>
  <si>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</si>
  <si>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</si>
  <si>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</si>
  <si>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</si>
  <si>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</si>
  <si>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</si>
  <si>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%,V503000</t>
  </si>
  <si>
    <t>Land offset</t>
  </si>
  <si>
    <t>503000</t>
  </si>
  <si>
    <t>%,V504000</t>
  </si>
  <si>
    <t>Library Books offset</t>
  </si>
  <si>
    <t>504000</t>
  </si>
  <si>
    <t>%,V505500</t>
  </si>
  <si>
    <t>Artwork offset</t>
  </si>
  <si>
    <t>505500</t>
  </si>
  <si>
    <t>%,V770000</t>
  </si>
  <si>
    <t>Equipment &gt; $5,000</t>
  </si>
  <si>
    <t>770000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</si>
  <si>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</si>
  <si>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</si>
  <si>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</si>
  <si>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</si>
  <si>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</si>
  <si>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</si>
  <si>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</si>
  <si>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</si>
  <si>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</si>
  <si>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</si>
  <si>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</si>
  <si>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</si>
  <si>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%,V777500</t>
  </si>
  <si>
    <t>Classroom Equip - Capital</t>
  </si>
  <si>
    <t>777500</t>
  </si>
  <si>
    <t>%,V777600</t>
  </si>
  <si>
    <t>Laboratory - Capital</t>
  </si>
  <si>
    <t>777600</t>
  </si>
  <si>
    <t>%,V777700</t>
  </si>
  <si>
    <t>Furniture - Capital</t>
  </si>
  <si>
    <t>777700</t>
  </si>
  <si>
    <t>%,V777800</t>
  </si>
  <si>
    <t>Vehicles - Capital</t>
  </si>
  <si>
    <t>777800</t>
  </si>
  <si>
    <t>%,V777900</t>
  </si>
  <si>
    <t>Field &amp; facilities equip - Cap</t>
  </si>
  <si>
    <t>777900</t>
  </si>
  <si>
    <t>%,V788100</t>
  </si>
  <si>
    <t>Library Acquisition-Capital</t>
  </si>
  <si>
    <t>788100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</si>
  <si>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</si>
  <si>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</si>
  <si>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</si>
  <si>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</si>
  <si>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</si>
  <si>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</si>
  <si>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</si>
  <si>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</si>
  <si>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</si>
  <si>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</si>
  <si>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</si>
  <si>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</si>
  <si>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%,V798500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</si>
  <si>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</si>
  <si>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</si>
  <si>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</si>
  <si>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</si>
  <si>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</si>
  <si>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</si>
  <si>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</si>
  <si>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%,V799600</t>
  </si>
  <si>
    <t>Artwork &amp; Museum Objects &gt;5000</t>
  </si>
  <si>
    <t>799600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</si>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</sst>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\-mm\-dd"/>
    <numFmt numFmtId="177" formatCode="mm/dd/yyyy"/>
    <numFmt numFmtId="178" formatCode="mmmm\ d\,\ yyyy"/>
    <numFmt numFmtId="179" formatCode="[$-409]dddd\,\ mmmm\ dd\,\ yyyy"/>
    <numFmt numFmtId="180" formatCode="mm/dd/yy"/>
    <numFmt numFmtId="181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 horizontal="left"/>
    </xf>
    <xf numFmtId="164" fontId="3" fillId="2" borderId="4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4" fillId="2" borderId="5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3" fillId="2" borderId="1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2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1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 horizontal="center"/>
    </xf>
    <xf numFmtId="164" fontId="8" fillId="2" borderId="0" xfId="15" applyNumberFormat="1" applyFont="1" applyFill="1" applyBorder="1" applyAlignment="1">
      <alignment horizontal="center"/>
    </xf>
    <xf numFmtId="164" fontId="7" fillId="2" borderId="2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" fontId="9" fillId="0" borderId="8" xfId="15" applyNumberFormat="1" applyFont="1" applyFill="1" applyBorder="1" applyAlignment="1">
      <alignment horizontal="center"/>
    </xf>
    <xf numFmtId="1" fontId="10" fillId="0" borderId="8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1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1" fillId="0" borderId="7" xfId="15" applyNumberFormat="1" applyFont="1" applyFill="1" applyBorder="1" applyAlignment="1" quotePrefix="1">
      <alignment/>
    </xf>
    <xf numFmtId="41" fontId="1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6" xfId="15" applyNumberFormat="1" applyFont="1" applyFill="1" applyBorder="1" applyAlignment="1" quotePrefix="1">
      <alignment/>
    </xf>
    <xf numFmtId="164" fontId="0" fillId="0" borderId="4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/>
    </xf>
    <xf numFmtId="164" fontId="3" fillId="2" borderId="4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left"/>
    </xf>
    <xf numFmtId="0" fontId="4" fillId="2" borderId="5" xfId="21" applyFont="1" applyFill="1" applyBorder="1">
      <alignment/>
      <protection/>
    </xf>
    <xf numFmtId="0" fontId="6" fillId="0" borderId="0" xfId="21" applyFont="1">
      <alignment/>
      <protection/>
    </xf>
    <xf numFmtId="164" fontId="3" fillId="2" borderId="1" xfId="15" applyNumberFormat="1" applyFont="1" applyFill="1" applyBorder="1" applyAlignment="1">
      <alignment/>
    </xf>
    <xf numFmtId="0" fontId="13" fillId="2" borderId="2" xfId="21" applyFont="1" applyFill="1" applyBorder="1">
      <alignment/>
      <protection/>
    </xf>
    <xf numFmtId="0" fontId="0" fillId="0" borderId="0" xfId="21" applyFont="1">
      <alignment/>
      <protection/>
    </xf>
    <xf numFmtId="0" fontId="4" fillId="2" borderId="2" xfId="21" applyFont="1" applyFill="1" applyBorder="1">
      <alignment/>
      <protection/>
    </xf>
    <xf numFmtId="164" fontId="3" fillId="2" borderId="9" xfId="15" applyNumberFormat="1" applyFont="1" applyFill="1" applyBorder="1" applyAlignment="1">
      <alignment horizontal="left"/>
    </xf>
    <xf numFmtId="0" fontId="13" fillId="2" borderId="10" xfId="21" applyFont="1" applyFill="1" applyBorder="1">
      <alignment/>
      <protection/>
    </xf>
    <xf numFmtId="164" fontId="14" fillId="0" borderId="6" xfId="15" applyNumberFormat="1" applyFont="1" applyFill="1" applyBorder="1" applyAlignment="1">
      <alignment/>
    </xf>
    <xf numFmtId="164" fontId="14" fillId="0" borderId="11" xfId="15" applyNumberFormat="1" applyFont="1" applyFill="1" applyBorder="1" applyAlignment="1">
      <alignment/>
    </xf>
    <xf numFmtId="0" fontId="9" fillId="0" borderId="8" xfId="21" applyFont="1" applyBorder="1" applyAlignment="1">
      <alignment horizontal="center"/>
      <protection/>
    </xf>
    <xf numFmtId="164" fontId="9" fillId="0" borderId="0" xfId="15" applyNumberFormat="1" applyFont="1" applyFill="1" applyBorder="1" applyAlignment="1">
      <alignment horizontal="center"/>
    </xf>
    <xf numFmtId="164" fontId="9" fillId="0" borderId="6" xfId="15" applyNumberFormat="1" applyFont="1" applyFill="1" applyBorder="1" applyAlignment="1">
      <alignment horizontal="left"/>
    </xf>
    <xf numFmtId="164" fontId="9" fillId="0" borderId="7" xfId="15" applyNumberFormat="1" applyFont="1" applyFill="1" applyBorder="1" applyAlignment="1">
      <alignment horizontal="left"/>
    </xf>
    <xf numFmtId="10" fontId="0" fillId="0" borderId="8" xfId="29" applyNumberFormat="1" applyFont="1" applyFill="1" applyBorder="1" applyAlignment="1">
      <alignment/>
    </xf>
    <xf numFmtId="10" fontId="0" fillId="0" borderId="0" xfId="29" applyNumberFormat="1" applyFont="1" applyFill="1" applyBorder="1" applyAlignment="1">
      <alignment/>
    </xf>
    <xf numFmtId="0" fontId="0" fillId="0" borderId="8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64" fontId="9" fillId="0" borderId="7" xfId="15" applyNumberFormat="1" applyFont="1" applyFill="1" applyBorder="1" applyAlignment="1">
      <alignment/>
    </xf>
    <xf numFmtId="0" fontId="9" fillId="0" borderId="0" xfId="21" applyFont="1" applyBorder="1">
      <alignment/>
      <protection/>
    </xf>
    <xf numFmtId="0" fontId="9" fillId="0" borderId="8" xfId="21" applyFont="1" applyBorder="1">
      <alignment/>
      <protection/>
    </xf>
    <xf numFmtId="0" fontId="0" fillId="0" borderId="4" xfId="21" applyFont="1" applyBorder="1">
      <alignment/>
      <protection/>
    </xf>
    <xf numFmtId="38" fontId="15" fillId="2" borderId="4" xfId="0" applyNumberFormat="1" applyFont="1" applyFill="1" applyBorder="1" applyAlignment="1">
      <alignment/>
    </xf>
    <xf numFmtId="37" fontId="13" fillId="2" borderId="4" xfId="0" applyNumberFormat="1" applyFont="1" applyFill="1" applyBorder="1" applyAlignment="1">
      <alignment/>
    </xf>
    <xf numFmtId="39" fontId="13" fillId="2" borderId="5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3" fillId="2" borderId="0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39" fontId="13" fillId="2" borderId="2" xfId="0" applyNumberFormat="1" applyFont="1" applyFill="1" applyBorder="1" applyAlignment="1">
      <alignment/>
    </xf>
    <xf numFmtId="164" fontId="7" fillId="2" borderId="1" xfId="15" applyNumberFormat="1" applyFont="1" applyFill="1" applyBorder="1" applyAlignment="1">
      <alignment horizontal="left"/>
    </xf>
    <xf numFmtId="164" fontId="14" fillId="0" borderId="3" xfId="15" applyNumberFormat="1" applyFont="1" applyFill="1" applyBorder="1" applyAlignment="1">
      <alignment horizontal="left"/>
    </xf>
    <xf numFmtId="38" fontId="0" fillId="0" borderId="4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38" fontId="9" fillId="0" borderId="6" xfId="0" applyNumberFormat="1" applyFont="1" applyFill="1" applyBorder="1" applyAlignment="1">
      <alignment/>
    </xf>
    <xf numFmtId="38" fontId="9" fillId="0" borderId="11" xfId="0" applyNumberFormat="1" applyFont="1" applyFill="1" applyBorder="1" applyAlignment="1">
      <alignment/>
    </xf>
    <xf numFmtId="38" fontId="9" fillId="0" borderId="7" xfId="0" applyNumberFormat="1" applyFont="1" applyFill="1" applyBorder="1" applyAlignment="1">
      <alignment/>
    </xf>
    <xf numFmtId="37" fontId="0" fillId="0" borderId="6" xfId="15" applyNumberFormat="1" applyFont="1" applyFill="1" applyBorder="1" applyAlignment="1">
      <alignment/>
    </xf>
    <xf numFmtId="39" fontId="9" fillId="0" borderId="8" xfId="0" applyNumberFormat="1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42" fontId="0" fillId="0" borderId="6" xfId="17" applyNumberFormat="1" applyFont="1" applyFill="1" applyBorder="1" applyAlignment="1">
      <alignment/>
    </xf>
    <xf numFmtId="42" fontId="0" fillId="0" borderId="8" xfId="17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41" fontId="9" fillId="0" borderId="6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37" fontId="0" fillId="0" borderId="8" xfId="15" applyNumberFormat="1" applyFont="1" applyFill="1" applyBorder="1" applyAlignment="1">
      <alignment/>
    </xf>
    <xf numFmtId="42" fontId="9" fillId="0" borderId="6" xfId="17" applyNumberFormat="1" applyFont="1" applyFill="1" applyBorder="1" applyAlignment="1">
      <alignment/>
    </xf>
    <xf numFmtId="42" fontId="9" fillId="0" borderId="8" xfId="17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9" fillId="0" borderId="0" xfId="0" applyNumberFormat="1" applyFont="1" applyFill="1" applyBorder="1" applyAlignment="1">
      <alignment/>
    </xf>
    <xf numFmtId="42" fontId="0" fillId="0" borderId="0" xfId="15" applyNumberFormat="1" applyFont="1" applyFill="1" applyAlignment="1">
      <alignment/>
    </xf>
    <xf numFmtId="37" fontId="0" fillId="0" borderId="9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9" fillId="0" borderId="12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6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/>
    </xf>
    <xf numFmtId="164" fontId="17" fillId="2" borderId="4" xfId="15" applyNumberFormat="1" applyFont="1" applyFill="1" applyBorder="1" applyAlignment="1">
      <alignment/>
    </xf>
    <xf numFmtId="164" fontId="17" fillId="2" borderId="5" xfId="15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/>
    </xf>
    <xf numFmtId="0" fontId="16" fillId="0" borderId="0" xfId="0" applyFont="1" applyFill="1" applyAlignment="1">
      <alignment/>
    </xf>
    <xf numFmtId="164" fontId="6" fillId="2" borderId="0" xfId="15" applyNumberFormat="1" applyFont="1" applyFill="1" applyAlignment="1">
      <alignment/>
    </xf>
    <xf numFmtId="164" fontId="4" fillId="2" borderId="2" xfId="15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7" fillId="2" borderId="1" xfId="0" applyFont="1" applyFill="1" applyBorder="1" applyAlignment="1">
      <alignment horizontal="left"/>
    </xf>
    <xf numFmtId="164" fontId="13" fillId="2" borderId="0" xfId="15" applyNumberFormat="1" applyFont="1" applyFill="1" applyBorder="1" applyAlignment="1">
      <alignment/>
    </xf>
    <xf numFmtId="164" fontId="13" fillId="2" borderId="2" xfId="15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13" fillId="2" borderId="9" xfId="15" applyNumberFormat="1" applyFont="1" applyFill="1" applyBorder="1" applyAlignment="1">
      <alignment/>
    </xf>
    <xf numFmtId="164" fontId="13" fillId="2" borderId="10" xfId="15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16" xfId="0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6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1" fontId="9" fillId="0" borderId="8" xfId="15" applyNumberFormat="1" applyFont="1" applyFill="1" applyBorder="1" applyAlignment="1">
      <alignment horizontal="center"/>
    </xf>
    <xf numFmtId="42" fontId="9" fillId="0" borderId="8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27" applyFont="1" applyFill="1" applyAlignment="1">
      <alignment/>
      <protection/>
    </xf>
    <xf numFmtId="164" fontId="17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 horizontal="left"/>
    </xf>
    <xf numFmtId="164" fontId="17" fillId="2" borderId="4" xfId="15" applyNumberFormat="1" applyFont="1" applyFill="1" applyBorder="1" applyAlignment="1">
      <alignment/>
    </xf>
    <xf numFmtId="164" fontId="2" fillId="2" borderId="5" xfId="15" applyNumberFormat="1" applyFont="1" applyFill="1" applyBorder="1" applyAlignment="1">
      <alignment horizontal="left"/>
    </xf>
    <xf numFmtId="0" fontId="15" fillId="2" borderId="0" xfId="27" applyFont="1" applyFill="1" applyAlignment="1">
      <alignment/>
      <protection/>
    </xf>
    <xf numFmtId="164" fontId="4" fillId="2" borderId="0" xfId="15" applyNumberFormat="1" applyFont="1" applyFill="1" applyAlignment="1">
      <alignment/>
    </xf>
    <xf numFmtId="0" fontId="3" fillId="2" borderId="1" xfId="27" applyFont="1" applyFill="1" applyBorder="1">
      <alignment/>
      <protection/>
    </xf>
    <xf numFmtId="164" fontId="4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left"/>
    </xf>
    <xf numFmtId="0" fontId="13" fillId="2" borderId="0" xfId="27" applyFont="1" applyFill="1" applyAlignment="1">
      <alignment/>
      <protection/>
    </xf>
    <xf numFmtId="164" fontId="3" fillId="2" borderId="13" xfId="15" applyNumberFormat="1" applyFont="1" applyFill="1" applyBorder="1" applyAlignment="1">
      <alignment horizontal="left"/>
    </xf>
    <xf numFmtId="164" fontId="3" fillId="2" borderId="10" xfId="15" applyNumberFormat="1" applyFont="1" applyFill="1" applyBorder="1" applyAlignment="1">
      <alignment horizontal="left"/>
    </xf>
    <xf numFmtId="164" fontId="0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Continuous"/>
    </xf>
    <xf numFmtId="164" fontId="9" fillId="0" borderId="1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164" fontId="9" fillId="0" borderId="13" xfId="15" applyNumberFormat="1" applyFont="1" applyFill="1" applyBorder="1" applyAlignment="1">
      <alignment horizontal="centerContinuous"/>
    </xf>
    <xf numFmtId="164" fontId="9" fillId="0" borderId="9" xfId="15" applyNumberFormat="1" applyFont="1" applyFill="1" applyBorder="1" applyAlignment="1">
      <alignment horizontal="centerContinuous"/>
    </xf>
    <xf numFmtId="164" fontId="9" fillId="0" borderId="1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Continuous"/>
    </xf>
    <xf numFmtId="164" fontId="9" fillId="0" borderId="11" xfId="15" applyNumberFormat="1" applyFont="1" applyFill="1" applyBorder="1" applyAlignment="1">
      <alignment horizontal="centerContinuous"/>
    </xf>
    <xf numFmtId="164" fontId="9" fillId="0" borderId="7" xfId="15" applyNumberFormat="1" applyFont="1" applyFill="1" applyBorder="1" applyAlignment="1">
      <alignment horizontal="centerContinuous"/>
    </xf>
    <xf numFmtId="164" fontId="0" fillId="0" borderId="8" xfId="15" applyNumberFormat="1" applyFont="1" applyFill="1" applyBorder="1" applyAlignment="1">
      <alignment horizontal="centerContinuous"/>
    </xf>
    <xf numFmtId="164" fontId="6" fillId="0" borderId="0" xfId="15" applyNumberFormat="1" applyFont="1" applyFill="1" applyAlignment="1">
      <alignment/>
    </xf>
    <xf numFmtId="164" fontId="9" fillId="0" borderId="11" xfId="15" applyNumberFormat="1" applyFont="1" applyFill="1" applyBorder="1" applyAlignment="1">
      <alignment horizontal="left"/>
    </xf>
    <xf numFmtId="164" fontId="0" fillId="0" borderId="11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164" fontId="14" fillId="0" borderId="0" xfId="15" applyNumberFormat="1" applyFont="1" applyFill="1" applyBorder="1" applyAlignment="1">
      <alignment/>
    </xf>
    <xf numFmtId="0" fontId="9" fillId="0" borderId="0" xfId="27" applyFont="1" applyFill="1" applyAlignment="1">
      <alignment/>
      <protection/>
    </xf>
    <xf numFmtId="164" fontId="0" fillId="0" borderId="4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0" fontId="0" fillId="0" borderId="0" xfId="27" applyFont="1" applyFill="1">
      <alignment/>
      <protection/>
    </xf>
    <xf numFmtId="164" fontId="20" fillId="0" borderId="0" xfId="15" applyNumberFormat="1" applyFont="1" applyFill="1" applyAlignment="1">
      <alignment/>
    </xf>
    <xf numFmtId="164" fontId="20" fillId="0" borderId="0" xfId="15" applyNumberFormat="1" applyFont="1" applyFill="1" applyBorder="1" applyAlignment="1">
      <alignment/>
    </xf>
    <xf numFmtId="0" fontId="20" fillId="0" borderId="0" xfId="23" applyFont="1" applyFill="1" applyAlignment="1">
      <alignment/>
      <protection/>
    </xf>
    <xf numFmtId="164" fontId="4" fillId="0" borderId="0" xfId="15" applyNumberFormat="1" applyFont="1" applyFill="1" applyAlignment="1">
      <alignment/>
    </xf>
    <xf numFmtId="164" fontId="3" fillId="2" borderId="5" xfId="15" applyNumberFormat="1" applyFont="1" applyFill="1" applyBorder="1" applyAlignment="1">
      <alignment horizontal="left"/>
    </xf>
    <xf numFmtId="0" fontId="13" fillId="0" borderId="0" xfId="23" applyFont="1" applyFill="1" applyAlignment="1">
      <alignment/>
      <protection/>
    </xf>
    <xf numFmtId="164" fontId="13" fillId="2" borderId="1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centerContinuous"/>
    </xf>
    <xf numFmtId="164" fontId="9" fillId="0" borderId="3" xfId="15" applyNumberFormat="1" applyFont="1" applyFill="1" applyBorder="1" applyAlignment="1">
      <alignment horizontal="center"/>
    </xf>
    <xf numFmtId="164" fontId="9" fillId="0" borderId="4" xfId="15" applyNumberFormat="1" applyFont="1" applyFill="1" applyBorder="1" applyAlignment="1">
      <alignment horizontal="center"/>
    </xf>
    <xf numFmtId="164" fontId="9" fillId="0" borderId="5" xfId="15" applyNumberFormat="1" applyFont="1" applyFill="1" applyBorder="1" applyAlignment="1">
      <alignment horizontal="center"/>
    </xf>
    <xf numFmtId="0" fontId="0" fillId="0" borderId="0" xfId="23" applyFont="1" applyFill="1" applyAlignment="1">
      <alignment/>
      <protection/>
    </xf>
    <xf numFmtId="164" fontId="0" fillId="0" borderId="0" xfId="15" applyNumberFormat="1" applyFont="1" applyFill="1" applyAlignment="1">
      <alignment wrapText="1"/>
    </xf>
    <xf numFmtId="164" fontId="9" fillId="0" borderId="13" xfId="15" applyNumberFormat="1" applyFont="1" applyFill="1" applyBorder="1" applyAlignment="1">
      <alignment horizontal="centerContinuous" wrapText="1"/>
    </xf>
    <xf numFmtId="164" fontId="9" fillId="0" borderId="9" xfId="15" applyNumberFormat="1" applyFont="1" applyFill="1" applyBorder="1" applyAlignment="1">
      <alignment horizontal="centerContinuous" wrapText="1"/>
    </xf>
    <xf numFmtId="164" fontId="9" fillId="0" borderId="10" xfId="15" applyNumberFormat="1" applyFont="1" applyFill="1" applyBorder="1" applyAlignment="1">
      <alignment horizontal="centerContinuous" wrapText="1"/>
    </xf>
    <xf numFmtId="164" fontId="9" fillId="0" borderId="8" xfId="15" applyNumberFormat="1" applyFont="1" applyFill="1" applyBorder="1" applyAlignment="1">
      <alignment horizontal="center" wrapText="1"/>
    </xf>
    <xf numFmtId="164" fontId="9" fillId="0" borderId="16" xfId="15" applyNumberFormat="1" applyFont="1" applyFill="1" applyBorder="1" applyAlignment="1">
      <alignment horizontal="center" wrapText="1"/>
    </xf>
    <xf numFmtId="0" fontId="0" fillId="0" borderId="0" xfId="23" applyFont="1" applyFill="1" applyAlignment="1">
      <alignment wrapText="1"/>
      <protection/>
    </xf>
    <xf numFmtId="0" fontId="0" fillId="0" borderId="0" xfId="23" applyFont="1" applyFill="1" applyBorder="1" applyAlignment="1">
      <alignment/>
      <protection/>
    </xf>
    <xf numFmtId="0" fontId="0" fillId="0" borderId="11" xfId="23" applyFont="1" applyFill="1" applyBorder="1" applyAlignment="1">
      <alignment/>
      <protection/>
    </xf>
    <xf numFmtId="164" fontId="6" fillId="0" borderId="6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0" fontId="20" fillId="0" borderId="0" xfId="23" applyFont="1" applyFill="1" applyBorder="1" applyAlignment="1">
      <alignment/>
      <protection/>
    </xf>
    <xf numFmtId="42" fontId="0" fillId="0" borderId="6" xfId="15" applyNumberFormat="1" applyFont="1" applyFill="1" applyBorder="1" applyAlignment="1">
      <alignment/>
    </xf>
    <xf numFmtId="41" fontId="20" fillId="0" borderId="0" xfId="15" applyNumberFormat="1" applyFont="1" applyFill="1" applyBorder="1" applyAlignment="1">
      <alignment/>
    </xf>
    <xf numFmtId="41" fontId="20" fillId="0" borderId="0" xfId="15" applyNumberFormat="1" applyFont="1" applyFill="1" applyAlignment="1">
      <alignment/>
    </xf>
    <xf numFmtId="41" fontId="6" fillId="0" borderId="6" xfId="15" applyNumberFormat="1" applyFont="1" applyFill="1" applyBorder="1" applyAlignment="1">
      <alignment/>
    </xf>
    <xf numFmtId="164" fontId="14" fillId="0" borderId="6" xfId="15" applyNumberFormat="1" applyFont="1" applyFill="1" applyBorder="1" applyAlignment="1">
      <alignment/>
    </xf>
    <xf numFmtId="41" fontId="14" fillId="0" borderId="6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41" fontId="0" fillId="0" borderId="9" xfId="15" applyNumberFormat="1" applyFont="1" applyFill="1" applyBorder="1" applyAlignment="1">
      <alignment/>
    </xf>
    <xf numFmtId="41" fontId="0" fillId="0" borderId="11" xfId="15" applyNumberFormat="1" applyFont="1" applyFill="1" applyBorder="1" applyAlignment="1">
      <alignment/>
    </xf>
    <xf numFmtId="41" fontId="14" fillId="0" borderId="0" xfId="15" applyNumberFormat="1" applyFont="1" applyFill="1" applyAlignment="1">
      <alignment/>
    </xf>
    <xf numFmtId="41" fontId="6" fillId="0" borderId="0" xfId="15" applyNumberFormat="1" applyFont="1" applyFill="1" applyAlignment="1">
      <alignment/>
    </xf>
    <xf numFmtId="0" fontId="9" fillId="0" borderId="0" xfId="23" applyFont="1" applyFill="1" applyAlignment="1">
      <alignment/>
      <protection/>
    </xf>
    <xf numFmtId="41" fontId="0" fillId="0" borderId="4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0" fontId="0" fillId="0" borderId="0" xfId="22" applyFont="1">
      <alignment/>
      <protection/>
    </xf>
    <xf numFmtId="164" fontId="7" fillId="2" borderId="0" xfId="15" applyNumberFormat="1" applyFont="1" applyFill="1" applyBorder="1" applyAlignment="1">
      <alignment horizontal="left"/>
    </xf>
    <xf numFmtId="164" fontId="7" fillId="2" borderId="2" xfId="15" applyNumberFormat="1" applyFont="1" applyFill="1" applyBorder="1" applyAlignment="1">
      <alignment horizontal="left"/>
    </xf>
    <xf numFmtId="164" fontId="3" fillId="2" borderId="2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 horizontal="centerContinuous"/>
    </xf>
    <xf numFmtId="164" fontId="9" fillId="0" borderId="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"/>
    </xf>
    <xf numFmtId="0" fontId="0" fillId="0" borderId="0" xfId="22" applyFont="1" applyFill="1">
      <alignment/>
      <protection/>
    </xf>
    <xf numFmtId="0" fontId="22" fillId="0" borderId="0" xfId="24" applyFont="1" applyFill="1">
      <alignment/>
      <protection/>
    </xf>
    <xf numFmtId="39" fontId="22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40" fontId="2" fillId="2" borderId="3" xfId="24" applyNumberFormat="1" applyFont="1" applyFill="1" applyBorder="1">
      <alignment/>
      <protection/>
    </xf>
    <xf numFmtId="0" fontId="4" fillId="2" borderId="4" xfId="24" applyFont="1" applyFill="1" applyBorder="1">
      <alignment/>
      <protection/>
    </xf>
    <xf numFmtId="0" fontId="4" fillId="2" borderId="5" xfId="24" applyFont="1" applyFill="1" applyBorder="1">
      <alignment/>
      <protection/>
    </xf>
    <xf numFmtId="40" fontId="14" fillId="0" borderId="0" xfId="24" applyNumberFormat="1" applyFont="1" applyFill="1" applyBorder="1" applyAlignment="1">
      <alignment horizontal="right"/>
      <protection/>
    </xf>
    <xf numFmtId="0" fontId="3" fillId="2" borderId="1" xfId="24" applyFont="1" applyFill="1" applyBorder="1">
      <alignment/>
      <protection/>
    </xf>
    <xf numFmtId="39" fontId="4" fillId="2" borderId="0" xfId="24" applyNumberFormat="1" applyFont="1" applyFill="1" applyBorder="1">
      <alignment/>
      <protection/>
    </xf>
    <xf numFmtId="39" fontId="3" fillId="2" borderId="0" xfId="24" applyNumberFormat="1" applyFont="1" applyFill="1" applyBorder="1" applyAlignment="1">
      <alignment horizontal="center"/>
      <protection/>
    </xf>
    <xf numFmtId="0" fontId="4" fillId="2" borderId="2" xfId="24" applyFont="1" applyFill="1" applyBorder="1">
      <alignment/>
      <protection/>
    </xf>
    <xf numFmtId="176" fontId="6" fillId="0" borderId="0" xfId="24" applyNumberFormat="1" applyFont="1" applyFill="1" applyBorder="1">
      <alignment/>
      <protection/>
    </xf>
    <xf numFmtId="0" fontId="7" fillId="2" borderId="1" xfId="24" applyFont="1" applyFill="1" applyBorder="1">
      <alignment/>
      <protection/>
    </xf>
    <xf numFmtId="39" fontId="23" fillId="2" borderId="0" xfId="24" applyNumberFormat="1" applyFont="1" applyFill="1" applyBorder="1">
      <alignment/>
      <protection/>
    </xf>
    <xf numFmtId="39" fontId="24" fillId="2" borderId="0" xfId="24" applyNumberFormat="1" applyFont="1" applyFill="1" applyBorder="1" applyAlignment="1">
      <alignment horizontal="center"/>
      <protection/>
    </xf>
    <xf numFmtId="0" fontId="23" fillId="2" borderId="2" xfId="24" applyFont="1" applyFill="1" applyBorder="1">
      <alignment/>
      <protection/>
    </xf>
    <xf numFmtId="19" fontId="22" fillId="0" borderId="0" xfId="24" applyNumberFormat="1" applyFont="1" applyFill="1" applyBorder="1">
      <alignment/>
      <protection/>
    </xf>
    <xf numFmtId="0" fontId="7" fillId="2" borderId="13" xfId="24" applyFont="1" applyFill="1" applyBorder="1">
      <alignment/>
      <protection/>
    </xf>
    <xf numFmtId="39" fontId="23" fillId="2" borderId="9" xfId="24" applyNumberFormat="1" applyFont="1" applyFill="1" applyBorder="1">
      <alignment/>
      <protection/>
    </xf>
    <xf numFmtId="39" fontId="24" fillId="2" borderId="9" xfId="24" applyNumberFormat="1" applyFont="1" applyFill="1" applyBorder="1" applyAlignment="1">
      <alignment horizontal="center"/>
      <protection/>
    </xf>
    <xf numFmtId="39" fontId="23" fillId="2" borderId="10" xfId="24" applyNumberFormat="1" applyFont="1" applyFill="1" applyBorder="1">
      <alignment/>
      <protection/>
    </xf>
    <xf numFmtId="19" fontId="22" fillId="0" borderId="0" xfId="24" applyNumberFormat="1" applyFont="1" applyFill="1">
      <alignment/>
      <protection/>
    </xf>
    <xf numFmtId="0" fontId="0" fillId="0" borderId="8" xfId="24" applyFont="1" applyFill="1" applyBorder="1">
      <alignment/>
      <protection/>
    </xf>
    <xf numFmtId="39" fontId="9" fillId="0" borderId="7" xfId="24" applyNumberFormat="1" applyFont="1" applyFill="1" applyBorder="1" applyAlignment="1">
      <alignment horizontal="center"/>
      <protection/>
    </xf>
    <xf numFmtId="39" fontId="9" fillId="0" borderId="8" xfId="24" applyNumberFormat="1" applyFont="1" applyFill="1" applyBorder="1" applyAlignment="1">
      <alignment horizontal="center"/>
      <protection/>
    </xf>
    <xf numFmtId="39" fontId="9" fillId="0" borderId="8" xfId="24" applyNumberFormat="1" applyFont="1" applyFill="1" applyBorder="1" applyAlignment="1">
      <alignment horizontal="center" wrapText="1"/>
      <protection/>
    </xf>
    <xf numFmtId="39" fontId="9" fillId="0" borderId="7" xfId="24" applyNumberFormat="1" applyFont="1" applyFill="1" applyBorder="1" applyAlignment="1">
      <alignment horizontal="center" vertical="top"/>
      <protection/>
    </xf>
    <xf numFmtId="39" fontId="9" fillId="0" borderId="8" xfId="24" applyNumberFormat="1" applyFont="1" applyFill="1" applyBorder="1" applyAlignment="1">
      <alignment horizontal="center" vertical="top"/>
      <protection/>
    </xf>
    <xf numFmtId="0" fontId="9" fillId="0" borderId="8" xfId="24" applyFont="1" applyFill="1" applyBorder="1">
      <alignment/>
      <protection/>
    </xf>
    <xf numFmtId="39" fontId="0" fillId="0" borderId="7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wrapText="1"/>
      <protection/>
    </xf>
    <xf numFmtId="39" fontId="0" fillId="0" borderId="8" xfId="24" applyNumberFormat="1" applyFont="1" applyFill="1" applyBorder="1" applyAlignment="1" quotePrefix="1">
      <alignment horizontal="center" wrapText="1"/>
      <protection/>
    </xf>
    <xf numFmtId="39" fontId="0" fillId="0" borderId="8" xfId="24" applyNumberFormat="1" applyFont="1" applyFill="1" applyBorder="1">
      <alignment/>
      <protection/>
    </xf>
    <xf numFmtId="39" fontId="0" fillId="0" borderId="7" xfId="24" applyNumberFormat="1" applyFont="1" applyFill="1" applyBorder="1">
      <alignment/>
      <protection/>
    </xf>
    <xf numFmtId="42" fontId="0" fillId="0" borderId="7" xfId="24" applyNumberFormat="1" applyFont="1" applyFill="1" applyBorder="1">
      <alignment/>
      <protection/>
    </xf>
    <xf numFmtId="42" fontId="0" fillId="0" borderId="8" xfId="24" applyNumberFormat="1" applyFont="1" applyFill="1" applyBorder="1">
      <alignment/>
      <protection/>
    </xf>
    <xf numFmtId="43" fontId="0" fillId="0" borderId="7" xfId="24" applyNumberFormat="1" applyFont="1" applyFill="1" applyBorder="1">
      <alignment/>
      <protection/>
    </xf>
    <xf numFmtId="43" fontId="0" fillId="0" borderId="8" xfId="24" applyNumberFormat="1" applyFont="1" applyFill="1" applyBorder="1">
      <alignment/>
      <protection/>
    </xf>
    <xf numFmtId="41" fontId="0" fillId="0" borderId="7" xfId="24" applyNumberFormat="1" applyFont="1" applyFill="1" applyBorder="1">
      <alignment/>
      <protection/>
    </xf>
    <xf numFmtId="41" fontId="0" fillId="0" borderId="8" xfId="24" applyNumberFormat="1" applyFont="1" applyFill="1" applyBorder="1">
      <alignment/>
      <protection/>
    </xf>
    <xf numFmtId="0" fontId="25" fillId="0" borderId="0" xfId="24" applyFont="1" applyFill="1">
      <alignment/>
      <protection/>
    </xf>
    <xf numFmtId="41" fontId="9" fillId="0" borderId="7" xfId="24" applyNumberFormat="1" applyFont="1" applyFill="1" applyBorder="1">
      <alignment/>
      <protection/>
    </xf>
    <xf numFmtId="41" fontId="9" fillId="0" borderId="8" xfId="24" applyNumberFormat="1" applyFont="1" applyFill="1" applyBorder="1">
      <alignment/>
      <protection/>
    </xf>
    <xf numFmtId="42" fontId="9" fillId="0" borderId="8" xfId="24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9" fontId="0" fillId="0" borderId="0" xfId="24" applyNumberFormat="1" applyFont="1" applyFill="1">
      <alignment/>
      <protection/>
    </xf>
    <xf numFmtId="0" fontId="22" fillId="0" borderId="0" xfId="28" applyFont="1" applyFill="1">
      <alignment/>
      <protection/>
    </xf>
    <xf numFmtId="0" fontId="0" fillId="0" borderId="0" xfId="28" applyFont="1" applyFill="1" quotePrefix="1">
      <alignment/>
      <protection/>
    </xf>
    <xf numFmtId="39" fontId="0" fillId="0" borderId="0" xfId="28" applyNumberFormat="1" applyFont="1" applyFill="1">
      <alignment/>
      <protection/>
    </xf>
    <xf numFmtId="0" fontId="0" fillId="0" borderId="8" xfId="25" applyFont="1" applyFill="1" applyBorder="1">
      <alignment/>
      <protection/>
    </xf>
    <xf numFmtId="0" fontId="0" fillId="0" borderId="3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39" fontId="0" fillId="0" borderId="14" xfId="25" applyNumberFormat="1" applyFont="1" applyFill="1" applyBorder="1">
      <alignment/>
      <protection/>
    </xf>
    <xf numFmtId="0" fontId="0" fillId="0" borderId="14" xfId="25" applyFont="1" applyFill="1" applyBorder="1">
      <alignment/>
      <protection/>
    </xf>
    <xf numFmtId="0" fontId="0" fillId="0" borderId="6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0" fontId="0" fillId="2" borderId="7" xfId="25" applyFont="1" applyFill="1" applyBorder="1">
      <alignment/>
      <protection/>
    </xf>
    <xf numFmtId="39" fontId="13" fillId="2" borderId="4" xfId="25" applyNumberFormat="1" applyFont="1" applyFill="1" applyBorder="1">
      <alignment/>
      <protection/>
    </xf>
    <xf numFmtId="39" fontId="7" fillId="2" borderId="4" xfId="25" applyNumberFormat="1" applyFont="1" applyFill="1" applyBorder="1" applyAlignment="1">
      <alignment horizontal="center"/>
      <protection/>
    </xf>
    <xf numFmtId="0" fontId="13" fillId="2" borderId="5" xfId="25" applyFont="1" applyFill="1" applyBorder="1">
      <alignment/>
      <protection/>
    </xf>
    <xf numFmtId="0" fontId="9" fillId="0" borderId="5" xfId="25" applyFont="1" applyFill="1" applyBorder="1" applyAlignment="1">
      <alignment horizontal="right"/>
      <protection/>
    </xf>
    <xf numFmtId="0" fontId="9" fillId="0" borderId="8" xfId="25" applyFont="1" applyFill="1" applyBorder="1">
      <alignment/>
      <protection/>
    </xf>
    <xf numFmtId="0" fontId="3" fillId="2" borderId="1" xfId="25" applyFont="1" applyFill="1" applyBorder="1">
      <alignment/>
      <protection/>
    </xf>
    <xf numFmtId="39" fontId="13" fillId="2" borderId="0" xfId="25" applyNumberFormat="1" applyFont="1" applyFill="1" applyBorder="1">
      <alignment/>
      <protection/>
    </xf>
    <xf numFmtId="39" fontId="7" fillId="2" borderId="0" xfId="25" applyNumberFormat="1" applyFont="1" applyFill="1" applyBorder="1" applyAlignment="1">
      <alignment horizontal="center"/>
      <protection/>
    </xf>
    <xf numFmtId="0" fontId="13" fillId="2" borderId="2" xfId="25" applyFont="1" applyFill="1" applyBorder="1">
      <alignment/>
      <protection/>
    </xf>
    <xf numFmtId="177" fontId="0" fillId="0" borderId="2" xfId="25" applyNumberFormat="1" applyFont="1" applyFill="1" applyBorder="1">
      <alignment/>
      <protection/>
    </xf>
    <xf numFmtId="0" fontId="7" fillId="2" borderId="1" xfId="25" applyFont="1" applyFill="1" applyBorder="1">
      <alignment/>
      <protection/>
    </xf>
    <xf numFmtId="18" fontId="0" fillId="0" borderId="2" xfId="25" applyNumberFormat="1" applyFont="1" applyFill="1" applyBorder="1">
      <alignment/>
      <protection/>
    </xf>
    <xf numFmtId="0" fontId="7" fillId="2" borderId="13" xfId="25" applyFont="1" applyFill="1" applyBorder="1">
      <alignment/>
      <protection/>
    </xf>
    <xf numFmtId="39" fontId="13" fillId="2" borderId="9" xfId="25" applyNumberFormat="1" applyFont="1" applyFill="1" applyBorder="1">
      <alignment/>
      <protection/>
    </xf>
    <xf numFmtId="39" fontId="7" fillId="2" borderId="9" xfId="25" applyNumberFormat="1" applyFont="1" applyFill="1" applyBorder="1" applyAlignment="1">
      <alignment horizontal="center"/>
      <protection/>
    </xf>
    <xf numFmtId="0" fontId="13" fillId="2" borderId="10" xfId="25" applyFont="1" applyFill="1" applyBorder="1">
      <alignment/>
      <protection/>
    </xf>
    <xf numFmtId="18" fontId="0" fillId="0" borderId="10" xfId="25" applyNumberFormat="1" applyFont="1" applyFill="1" applyBorder="1">
      <alignment/>
      <protection/>
    </xf>
    <xf numFmtId="0" fontId="0" fillId="0" borderId="13" xfId="25" applyFont="1" applyFill="1" applyBorder="1">
      <alignment/>
      <protection/>
    </xf>
    <xf numFmtId="0" fontId="0" fillId="0" borderId="10" xfId="25" applyFont="1" applyFill="1" applyBorder="1">
      <alignment/>
      <protection/>
    </xf>
    <xf numFmtId="39" fontId="9" fillId="0" borderId="16" xfId="25" applyNumberFormat="1" applyFont="1" applyFill="1" applyBorder="1" applyAlignment="1">
      <alignment horizontal="center" wrapText="1"/>
      <protection/>
    </xf>
    <xf numFmtId="39" fontId="9" fillId="0" borderId="16" xfId="25" applyNumberFormat="1" applyFont="1" applyFill="1" applyBorder="1" applyAlignment="1">
      <alignment horizontal="center"/>
      <protection/>
    </xf>
    <xf numFmtId="0" fontId="9" fillId="0" borderId="8" xfId="25" applyFont="1" applyFill="1" applyBorder="1" applyAlignment="1">
      <alignment horizontal="center" wrapText="1"/>
      <protection/>
    </xf>
    <xf numFmtId="0" fontId="0" fillId="0" borderId="7" xfId="25" applyFont="1" applyFill="1" applyBorder="1">
      <alignment/>
      <protection/>
    </xf>
    <xf numFmtId="39" fontId="0" fillId="0" borderId="8" xfId="25" applyNumberFormat="1" applyFont="1" applyFill="1" applyBorder="1">
      <alignment/>
      <protection/>
    </xf>
    <xf numFmtId="39" fontId="0" fillId="0" borderId="8" xfId="25" applyNumberFormat="1" applyFont="1" applyFill="1" applyBorder="1" applyAlignment="1">
      <alignment horizontal="center"/>
      <protection/>
    </xf>
    <xf numFmtId="39" fontId="0" fillId="0" borderId="8" xfId="25" applyNumberFormat="1" applyFont="1" applyFill="1" applyBorder="1" applyAlignment="1">
      <alignment horizontal="center" wrapText="1"/>
      <protection/>
    </xf>
    <xf numFmtId="42" fontId="0" fillId="0" borderId="14" xfId="25" applyNumberFormat="1" applyFont="1" applyFill="1" applyBorder="1">
      <alignment/>
      <protection/>
    </xf>
    <xf numFmtId="41" fontId="0" fillId="0" borderId="14" xfId="25" applyNumberFormat="1" applyFont="1" applyFill="1" applyBorder="1">
      <alignment/>
      <protection/>
    </xf>
    <xf numFmtId="0" fontId="9" fillId="0" borderId="6" xfId="25" applyFont="1" applyFill="1" applyBorder="1">
      <alignment/>
      <protection/>
    </xf>
    <xf numFmtId="0" fontId="9" fillId="0" borderId="7" xfId="25" applyFont="1" applyFill="1" applyBorder="1" applyAlignment="1">
      <alignment horizontal="left"/>
      <protection/>
    </xf>
    <xf numFmtId="41" fontId="9" fillId="0" borderId="8" xfId="25" applyNumberFormat="1" applyFont="1" applyFill="1" applyBorder="1">
      <alignment/>
      <protection/>
    </xf>
    <xf numFmtId="41" fontId="9" fillId="0" borderId="8" xfId="25" applyNumberFormat="1" applyFont="1" applyFill="1" applyBorder="1" applyAlignment="1">
      <alignment horizontal="right"/>
      <protection/>
    </xf>
    <xf numFmtId="41" fontId="0" fillId="0" borderId="8" xfId="25" applyNumberFormat="1" applyFont="1" applyFill="1" applyBorder="1">
      <alignment/>
      <protection/>
    </xf>
    <xf numFmtId="42" fontId="9" fillId="0" borderId="8" xfId="25" applyNumberFormat="1" applyFont="1" applyFill="1" applyBorder="1">
      <alignment/>
      <protection/>
    </xf>
    <xf numFmtId="0" fontId="0" fillId="0" borderId="7" xfId="25" applyFont="1" applyFill="1" applyBorder="1" applyAlignment="1">
      <alignment horizontal="right"/>
      <protection/>
    </xf>
    <xf numFmtId="0" fontId="9" fillId="0" borderId="7" xfId="25" applyFont="1" applyFill="1" applyBorder="1">
      <alignment/>
      <protection/>
    </xf>
    <xf numFmtId="39" fontId="9" fillId="0" borderId="8" xfId="25" applyNumberFormat="1" applyFont="1" applyFill="1" applyBorder="1">
      <alignment/>
      <protection/>
    </xf>
    <xf numFmtId="0" fontId="0" fillId="0" borderId="0" xfId="26" applyFont="1" applyFill="1" applyAlignment="1">
      <alignment wrapText="1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Border="1" applyAlignment="1">
      <alignment wrapText="1"/>
      <protection/>
    </xf>
    <xf numFmtId="0" fontId="0" fillId="0" borderId="0" xfId="26" applyFont="1">
      <alignment/>
      <protection/>
    </xf>
    <xf numFmtId="0" fontId="6" fillId="0" borderId="0" xfId="26" applyFont="1" applyFill="1">
      <alignment/>
      <protection/>
    </xf>
    <xf numFmtId="0" fontId="2" fillId="2" borderId="3" xfId="26" applyFont="1" applyFill="1" applyBorder="1" applyAlignment="1">
      <alignment horizontal="left"/>
      <protection/>
    </xf>
    <xf numFmtId="0" fontId="3" fillId="2" borderId="4" xfId="26" applyFont="1" applyFill="1" applyBorder="1" applyAlignment="1">
      <alignment horizontal="left"/>
      <protection/>
    </xf>
    <xf numFmtId="0" fontId="3" fillId="2" borderId="5" xfId="26" applyFont="1" applyFill="1" applyBorder="1" applyAlignment="1">
      <alignment horizontal="left"/>
      <protection/>
    </xf>
    <xf numFmtId="0" fontId="6" fillId="0" borderId="0" xfId="26" applyFont="1">
      <alignment/>
      <protection/>
    </xf>
    <xf numFmtId="0" fontId="3" fillId="2" borderId="1" xfId="26" applyFont="1" applyFill="1" applyBorder="1" applyAlignment="1">
      <alignment horizontal="left"/>
      <protection/>
    </xf>
    <xf numFmtId="0" fontId="3" fillId="2" borderId="0" xfId="26" applyFont="1" applyFill="1" applyBorder="1" applyAlignment="1">
      <alignment horizontal="left"/>
      <protection/>
    </xf>
    <xf numFmtId="0" fontId="3" fillId="2" borderId="2" xfId="26" applyFont="1" applyFill="1" applyBorder="1" applyAlignment="1">
      <alignment horizontal="left"/>
      <protection/>
    </xf>
    <xf numFmtId="0" fontId="0" fillId="0" borderId="0" xfId="26" applyFont="1" applyFill="1">
      <alignment/>
      <protection/>
    </xf>
    <xf numFmtId="0" fontId="7" fillId="2" borderId="1" xfId="26" applyFont="1" applyFill="1" applyBorder="1" applyAlignment="1">
      <alignment horizontal="left"/>
      <protection/>
    </xf>
    <xf numFmtId="0" fontId="7" fillId="2" borderId="0" xfId="26" applyFont="1" applyFill="1" applyBorder="1" applyAlignment="1">
      <alignment horizontal="left"/>
      <protection/>
    </xf>
    <xf numFmtId="0" fontId="7" fillId="2" borderId="2" xfId="26" applyFont="1" applyFill="1" applyBorder="1" applyAlignment="1">
      <alignment horizontal="left"/>
      <protection/>
    </xf>
    <xf numFmtId="0" fontId="13" fillId="2" borderId="13" xfId="26" applyFont="1" applyFill="1" applyBorder="1">
      <alignment/>
      <protection/>
    </xf>
    <xf numFmtId="0" fontId="13" fillId="2" borderId="9" xfId="26" applyFont="1" applyFill="1" applyBorder="1" applyAlignment="1">
      <alignment/>
      <protection/>
    </xf>
    <xf numFmtId="0" fontId="13" fillId="2" borderId="9" xfId="26" applyFont="1" applyFill="1" applyBorder="1">
      <alignment/>
      <protection/>
    </xf>
    <xf numFmtId="0" fontId="13" fillId="2" borderId="10" xfId="26" applyFont="1" applyFill="1" applyBorder="1">
      <alignment/>
      <protection/>
    </xf>
    <xf numFmtId="40" fontId="9" fillId="0" borderId="6" xfId="26" applyNumberFormat="1" applyFont="1" applyFill="1" applyBorder="1" applyAlignment="1">
      <alignment horizontal="centerContinuous"/>
      <protection/>
    </xf>
    <xf numFmtId="40" fontId="9" fillId="0" borderId="7" xfId="26" applyNumberFormat="1" applyFont="1" applyFill="1" applyBorder="1" applyAlignment="1">
      <alignment horizontal="centerContinuous"/>
      <protection/>
    </xf>
    <xf numFmtId="40" fontId="9" fillId="0" borderId="8" xfId="26" applyNumberFormat="1" applyFont="1" applyFill="1" applyBorder="1" applyAlignment="1">
      <alignment horizontal="center" wrapText="1"/>
      <protection/>
    </xf>
    <xf numFmtId="40" fontId="9" fillId="0" borderId="8" xfId="26" applyNumberFormat="1" applyFont="1" applyFill="1" applyBorder="1" applyAlignment="1">
      <alignment horizontal="centerContinuous"/>
      <protection/>
    </xf>
    <xf numFmtId="0" fontId="9" fillId="0" borderId="6" xfId="26" applyFont="1" applyFill="1" applyBorder="1" applyAlignment="1">
      <alignment horizontal="left"/>
      <protection/>
    </xf>
    <xf numFmtId="0" fontId="9" fillId="0" borderId="7" xfId="26" applyFont="1" applyFill="1" applyBorder="1" applyAlignment="1">
      <alignment horizontal="left"/>
      <protection/>
    </xf>
    <xf numFmtId="40" fontId="0" fillId="0" borderId="8" xfId="26" applyNumberFormat="1" applyFont="1" applyFill="1" applyBorder="1">
      <alignment/>
      <protection/>
    </xf>
    <xf numFmtId="0" fontId="0" fillId="0" borderId="6" xfId="26" applyFont="1" applyFill="1" applyBorder="1">
      <alignment/>
      <protection/>
    </xf>
    <xf numFmtId="0" fontId="0" fillId="0" borderId="7" xfId="26" applyFont="1" applyFill="1" applyBorder="1" applyAlignment="1">
      <alignment/>
      <protection/>
    </xf>
    <xf numFmtId="42" fontId="0" fillId="0" borderId="8" xfId="17" applyNumberFormat="1" applyFont="1" applyFill="1" applyBorder="1" applyAlignment="1">
      <alignment/>
    </xf>
    <xf numFmtId="41" fontId="0" fillId="0" borderId="8" xfId="26" applyNumberFormat="1" applyFont="1" applyFill="1" applyBorder="1">
      <alignment/>
      <protection/>
    </xf>
    <xf numFmtId="41" fontId="0" fillId="0" borderId="0" xfId="26" applyNumberFormat="1" applyFont="1" applyFill="1" applyBorder="1" applyAlignment="1">
      <alignment wrapText="1"/>
      <protection/>
    </xf>
    <xf numFmtId="41" fontId="0" fillId="0" borderId="0" xfId="26" applyNumberFormat="1" applyFont="1" applyFill="1" applyAlignment="1">
      <alignment wrapText="1"/>
      <protection/>
    </xf>
    <xf numFmtId="0" fontId="9" fillId="0" borderId="0" xfId="26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0" fontId="9" fillId="0" borderId="6" xfId="26" applyFont="1" applyFill="1" applyBorder="1">
      <alignment/>
      <protection/>
    </xf>
    <xf numFmtId="0" fontId="9" fillId="0" borderId="7" xfId="26" applyFont="1" applyFill="1" applyBorder="1" applyAlignment="1">
      <alignment/>
      <protection/>
    </xf>
    <xf numFmtId="0" fontId="9" fillId="0" borderId="0" xfId="26" applyFont="1" applyFill="1">
      <alignment/>
      <protection/>
    </xf>
    <xf numFmtId="0" fontId="9" fillId="0" borderId="6" xfId="26" applyFont="1" applyFill="1" applyBorder="1" applyAlignment="1">
      <alignment/>
      <protection/>
    </xf>
    <xf numFmtId="164" fontId="14" fillId="0" borderId="0" xfId="15" applyNumberFormat="1" applyFont="1" applyFill="1" applyAlignment="1">
      <alignment/>
    </xf>
    <xf numFmtId="164" fontId="14" fillId="0" borderId="0" xfId="15" applyNumberFormat="1" applyFont="1" applyFill="1" applyBorder="1" applyAlignment="1">
      <alignment/>
    </xf>
    <xf numFmtId="42" fontId="9" fillId="0" borderId="8" xfId="17" applyNumberFormat="1" applyFont="1" applyFill="1" applyBorder="1" applyAlignment="1">
      <alignment/>
    </xf>
    <xf numFmtId="0" fontId="0" fillId="0" borderId="0" xfId="26" applyFont="1" applyBorder="1" applyAlignment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Border="1">
      <alignment/>
      <protection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9" fontId="0" fillId="0" borderId="3" xfId="0" applyNumberForma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0" fontId="6" fillId="0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9" fontId="4" fillId="2" borderId="4" xfId="0" applyNumberFormat="1" applyFont="1" applyFill="1" applyBorder="1" applyAlignment="1">
      <alignment/>
    </xf>
    <xf numFmtId="39" fontId="3" fillId="2" borderId="4" xfId="0" applyNumberFormat="1" applyFont="1" applyFill="1" applyBorder="1" applyAlignment="1">
      <alignment horizontal="center"/>
    </xf>
    <xf numFmtId="39" fontId="4" fillId="2" borderId="4" xfId="0" applyNumberFormat="1" applyFont="1" applyFill="1" applyBorder="1" applyAlignment="1">
      <alignment horizontal="left"/>
    </xf>
    <xf numFmtId="40" fontId="3" fillId="2" borderId="5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2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9" fontId="13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 horizontal="center"/>
    </xf>
    <xf numFmtId="39" fontId="13" fillId="2" borderId="0" xfId="0" applyNumberFormat="1" applyFont="1" applyFill="1" applyBorder="1" applyAlignment="1">
      <alignment horizontal="left"/>
    </xf>
    <xf numFmtId="176" fontId="13" fillId="2" borderId="2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7" fillId="2" borderId="1" xfId="0" applyFont="1" applyFill="1" applyBorder="1" applyAlignment="1">
      <alignment/>
    </xf>
    <xf numFmtId="19" fontId="13" fillId="2" borderId="2" xfId="0" applyNumberFormat="1" applyFont="1" applyFill="1" applyBorder="1" applyAlignment="1">
      <alignment/>
    </xf>
    <xf numFmtId="19" fontId="0" fillId="0" borderId="7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9" fontId="9" fillId="0" borderId="6" xfId="0" applyNumberFormat="1" applyFont="1" applyFill="1" applyBorder="1" applyAlignment="1">
      <alignment horizontal="center" wrapText="1"/>
    </xf>
    <xf numFmtId="39" fontId="9" fillId="0" borderId="8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9" fontId="0" fillId="0" borderId="6" xfId="0" applyNumberFormat="1" applyFill="1" applyBorder="1" applyAlignment="1">
      <alignment horizontal="left"/>
    </xf>
    <xf numFmtId="39" fontId="0" fillId="0" borderId="8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42" fontId="0" fillId="0" borderId="3" xfId="0" applyNumberFormat="1" applyFill="1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5" xfId="0" applyNumberFormat="1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1" xfId="0" applyFont="1" applyFill="1" applyBorder="1" applyAlignment="1">
      <alignment horizontal="left" indent="1"/>
    </xf>
    <xf numFmtId="41" fontId="9" fillId="0" borderId="6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41" fontId="0" fillId="0" borderId="6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42" fontId="9" fillId="0" borderId="6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7" xfId="0" applyNumberFormat="1" applyFont="1" applyFill="1" applyBorder="1" applyAlignment="1">
      <alignment/>
    </xf>
    <xf numFmtId="39" fontId="0" fillId="0" borderId="6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39" fontId="17" fillId="2" borderId="3" xfId="0" applyNumberFormat="1" applyFont="1" applyFill="1" applyBorder="1" applyAlignment="1">
      <alignment/>
    </xf>
    <xf numFmtId="39" fontId="17" fillId="2" borderId="4" xfId="0" applyNumberFormat="1" applyFont="1" applyFill="1" applyBorder="1" applyAlignment="1">
      <alignment/>
    </xf>
    <xf numFmtId="39" fontId="2" fillId="2" borderId="4" xfId="0" applyNumberFormat="1" applyFont="1" applyFill="1" applyBorder="1" applyAlignment="1">
      <alignment horizontal="center"/>
    </xf>
    <xf numFmtId="39" fontId="17" fillId="2" borderId="4" xfId="0" applyNumberFormat="1" applyFont="1" applyFill="1" applyBorder="1" applyAlignment="1">
      <alignment horizontal="left"/>
    </xf>
    <xf numFmtId="40" fontId="2" fillId="2" borderId="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39" fontId="3" fillId="2" borderId="0" xfId="0" applyNumberFormat="1" applyFont="1" applyFill="1" applyBorder="1" applyAlignment="1">
      <alignment horizontal="center"/>
    </xf>
    <xf numFmtId="39" fontId="4" fillId="2" borderId="0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39" fontId="13" fillId="2" borderId="13" xfId="0" applyNumberFormat="1" applyFont="1" applyFill="1" applyBorder="1" applyAlignment="1">
      <alignment/>
    </xf>
    <xf numFmtId="39" fontId="13" fillId="2" borderId="9" xfId="0" applyNumberFormat="1" applyFont="1" applyFill="1" applyBorder="1" applyAlignment="1">
      <alignment/>
    </xf>
    <xf numFmtId="39" fontId="13" fillId="2" borderId="10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8" xfId="0" applyNumberFormat="1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7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1" fontId="0" fillId="0" borderId="16" xfId="0" applyNumberFormat="1" applyFill="1" applyBorder="1" applyAlignment="1">
      <alignment/>
    </xf>
    <xf numFmtId="0" fontId="9" fillId="0" borderId="7" xfId="0" applyFont="1" applyFill="1" applyBorder="1" applyAlignment="1">
      <alignment horizontal="left" indent="1"/>
    </xf>
    <xf numFmtId="41" fontId="9" fillId="0" borderId="16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1" fontId="9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0" fontId="9" fillId="0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9" fontId="1" fillId="0" borderId="4" xfId="0" applyNumberFormat="1" applyFont="1" applyFill="1" applyBorder="1" applyAlignment="1">
      <alignment/>
    </xf>
    <xf numFmtId="39" fontId="1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39" fontId="3" fillId="2" borderId="4" xfId="0" applyNumberFormat="1" applyFont="1" applyFill="1" applyBorder="1" applyAlignment="1">
      <alignment/>
    </xf>
    <xf numFmtId="39" fontId="3" fillId="2" borderId="5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9" fontId="3" fillId="2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39" fontId="5" fillId="2" borderId="9" xfId="0" applyNumberFormat="1" applyFont="1" applyFill="1" applyBorder="1" applyAlignment="1">
      <alignment/>
    </xf>
    <xf numFmtId="39" fontId="8" fillId="2" borderId="9" xfId="0" applyNumberFormat="1" applyFont="1" applyFill="1" applyBorder="1" applyAlignment="1">
      <alignment/>
    </xf>
    <xf numFmtId="39" fontId="5" fillId="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9" fontId="9" fillId="0" borderId="15" xfId="0" applyNumberFormat="1" applyFont="1" applyFill="1" applyBorder="1" applyAlignment="1">
      <alignment horizontal="center" wrapText="1"/>
    </xf>
    <xf numFmtId="39" fontId="9" fillId="0" borderId="15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" fillId="0" borderId="17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178" fontId="9" fillId="0" borderId="16" xfId="0" applyNumberFormat="1" applyFont="1" applyFill="1" applyBorder="1" applyAlignment="1">
      <alignment horizontal="center"/>
    </xf>
    <xf numFmtId="39" fontId="9" fillId="0" borderId="1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39" fontId="0" fillId="0" borderId="8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Fill="1" applyBorder="1" applyAlignment="1">
      <alignment/>
    </xf>
    <xf numFmtId="42" fontId="0" fillId="0" borderId="8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164" fontId="16" fillId="0" borderId="0" xfId="15" applyNumberFormat="1" applyFont="1" applyFill="1" applyAlignment="1">
      <alignment/>
    </xf>
    <xf numFmtId="164" fontId="2" fillId="2" borderId="6" xfId="15" applyNumberFormat="1" applyFont="1" applyFill="1" applyBorder="1" applyAlignment="1">
      <alignment/>
    </xf>
    <xf numFmtId="0" fontId="16" fillId="2" borderId="4" xfId="0" applyFont="1" applyFill="1" applyBorder="1" applyAlignment="1">
      <alignment/>
    </xf>
    <xf numFmtId="164" fontId="2" fillId="2" borderId="5" xfId="15" applyNumberFormat="1" applyFont="1" applyFill="1" applyBorder="1" applyAlignment="1">
      <alignment/>
    </xf>
    <xf numFmtId="164" fontId="3" fillId="2" borderId="6" xfId="15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3" fillId="2" borderId="2" xfId="15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164" fontId="0" fillId="2" borderId="0" xfId="15" applyNumberFormat="1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0" fillId="2" borderId="9" xfId="15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164" fontId="9" fillId="0" borderId="16" xfId="15" applyNumberFormat="1" applyFont="1" applyFill="1" applyBorder="1" applyAlignment="1" quotePrefix="1">
      <alignment horizontal="center"/>
    </xf>
    <xf numFmtId="49" fontId="9" fillId="0" borderId="16" xfId="15" applyNumberFormat="1" applyFont="1" applyFill="1" applyBorder="1" applyAlignment="1">
      <alignment horizontal="center"/>
    </xf>
    <xf numFmtId="43" fontId="0" fillId="0" borderId="0" xfId="15" applyNumberFormat="1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13" fillId="2" borderId="4" xfId="0" applyFont="1" applyFill="1" applyBorder="1" applyAlignment="1">
      <alignment/>
    </xf>
    <xf numFmtId="43" fontId="13" fillId="2" borderId="5" xfId="15" applyFont="1" applyFill="1" applyBorder="1" applyAlignment="1">
      <alignment/>
    </xf>
    <xf numFmtId="0" fontId="0" fillId="0" borderId="0" xfId="0" applyFont="1" applyAlignment="1">
      <alignment/>
    </xf>
    <xf numFmtId="43" fontId="13" fillId="2" borderId="2" xfId="15" applyFont="1" applyFill="1" applyBorder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26" fillId="2" borderId="1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/>
      <protection/>
    </xf>
    <xf numFmtId="178" fontId="27" fillId="0" borderId="24" xfId="0" applyNumberFormat="1" applyFont="1" applyFill="1" applyBorder="1" applyAlignment="1" applyProtection="1" quotePrefix="1">
      <alignment horizontal="center"/>
      <protection/>
    </xf>
    <xf numFmtId="0" fontId="27" fillId="0" borderId="24" xfId="0" applyFont="1" applyFill="1" applyBorder="1" applyAlignment="1" applyProtection="1">
      <alignment horizontal="center"/>
      <protection/>
    </xf>
    <xf numFmtId="178" fontId="27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/>
      <protection/>
    </xf>
    <xf numFmtId="178" fontId="27" fillId="0" borderId="26" xfId="0" applyNumberFormat="1" applyFont="1" applyFill="1" applyBorder="1" applyAlignment="1" applyProtection="1" quotePrefix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78" fontId="27" fillId="0" borderId="27" xfId="0" applyNumberFormat="1" applyFont="1" applyFill="1" applyBorder="1" applyAlignment="1" applyProtection="1" quotePrefix="1">
      <alignment horizontal="center"/>
      <protection/>
    </xf>
    <xf numFmtId="0" fontId="9" fillId="0" borderId="20" xfId="0" applyFont="1" applyBorder="1" applyAlignment="1">
      <alignment/>
    </xf>
    <xf numFmtId="0" fontId="0" fillId="0" borderId="27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3" fontId="0" fillId="0" borderId="19" xfId="15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43" fontId="0" fillId="0" borderId="27" xfId="15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27" xfId="0" applyFont="1" applyBorder="1" applyAlignment="1" applyProtection="1">
      <alignment/>
      <protection/>
    </xf>
    <xf numFmtId="44" fontId="0" fillId="0" borderId="27" xfId="0" applyNumberFormat="1" applyFont="1" applyBorder="1" applyAlignment="1" applyProtection="1">
      <alignment/>
      <protection/>
    </xf>
    <xf numFmtId="43" fontId="0" fillId="0" borderId="27" xfId="15" applyFont="1" applyBorder="1" applyAlignment="1" applyProtection="1">
      <alignment/>
      <protection/>
    </xf>
    <xf numFmtId="42" fontId="0" fillId="0" borderId="27" xfId="15" applyNumberFormat="1" applyFont="1" applyBorder="1" applyAlignment="1" applyProtection="1">
      <alignment/>
      <protection/>
    </xf>
    <xf numFmtId="42" fontId="0" fillId="0" borderId="27" xfId="15" applyNumberFormat="1" applyFont="1" applyFill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/>
    </xf>
    <xf numFmtId="41" fontId="0" fillId="0" borderId="27" xfId="15" applyNumberFormat="1" applyFont="1" applyFill="1" applyBorder="1" applyAlignment="1" applyProtection="1">
      <alignment/>
      <protection/>
    </xf>
    <xf numFmtId="0" fontId="9" fillId="0" borderId="23" xfId="0" applyFont="1" applyBorder="1" applyAlignment="1">
      <alignment/>
    </xf>
    <xf numFmtId="42" fontId="9" fillId="0" borderId="27" xfId="15" applyNumberFormat="1" applyFont="1" applyBorder="1" applyAlignment="1" applyProtection="1">
      <alignment/>
      <protection/>
    </xf>
    <xf numFmtId="42" fontId="9" fillId="0" borderId="27" xfId="15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28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2" fontId="0" fillId="0" borderId="0" xfId="0" applyNumberFormat="1" applyFont="1" applyFill="1" applyAlignment="1" applyProtection="1">
      <alignment horizontal="right"/>
      <protection/>
    </xf>
    <xf numFmtId="42" fontId="0" fillId="0" borderId="0" xfId="0" applyNumberFormat="1" applyFont="1" applyFill="1" applyAlignment="1">
      <alignment/>
    </xf>
    <xf numFmtId="43" fontId="0" fillId="0" borderId="0" xfId="15" applyFont="1" applyAlignment="1">
      <alignment/>
    </xf>
    <xf numFmtId="0" fontId="0" fillId="0" borderId="0" xfId="0" applyFont="1" applyFill="1" applyAlignment="1">
      <alignment horizontal="right"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0" fontId="2" fillId="2" borderId="3" xfId="0" applyNumberFormat="1" applyFont="1" applyFill="1" applyBorder="1" applyAlignment="1">
      <alignment/>
    </xf>
    <xf numFmtId="40" fontId="3" fillId="2" borderId="4" xfId="0" applyNumberFormat="1" applyFont="1" applyFill="1" applyBorder="1" applyAlignment="1">
      <alignment/>
    </xf>
    <xf numFmtId="43" fontId="4" fillId="2" borderId="5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40" fontId="3" fillId="2" borderId="0" xfId="0" applyNumberFormat="1" applyFont="1" applyFill="1" applyBorder="1" applyAlignment="1">
      <alignment/>
    </xf>
    <xf numFmtId="43" fontId="4" fillId="2" borderId="2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40" fontId="7" fillId="2" borderId="0" xfId="0" applyNumberFormat="1" applyFont="1" applyFill="1" applyBorder="1" applyAlignment="1">
      <alignment/>
    </xf>
    <xf numFmtId="43" fontId="13" fillId="2" borderId="2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9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43" fontId="9" fillId="0" borderId="8" xfId="0" applyNumberFormat="1" applyFont="1" applyFill="1" applyBorder="1" applyAlignment="1">
      <alignment horizontal="center" wrapText="1"/>
    </xf>
    <xf numFmtId="42" fontId="0" fillId="0" borderId="8" xfId="0" applyNumberFormat="1" applyFill="1" applyBorder="1" applyAlignment="1">
      <alignment/>
    </xf>
    <xf numFmtId="0" fontId="0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25" applyFont="1" applyFill="1" applyBorder="1" applyAlignment="1">
      <alignment/>
      <protection/>
    </xf>
    <xf numFmtId="0" fontId="0" fillId="0" borderId="8" xfId="25" applyFont="1" applyFill="1" applyBorder="1" applyAlignment="1">
      <alignment/>
      <protection/>
    </xf>
    <xf numFmtId="0" fontId="15" fillId="0" borderId="0" xfId="27" applyFont="1" applyFill="1" applyAlignment="1">
      <alignment/>
      <protection/>
    </xf>
    <xf numFmtId="0" fontId="13" fillId="0" borderId="0" xfId="27" applyFont="1" applyFill="1" applyAlignme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ative SRECNA FY 2001" xfId="21"/>
    <cellStyle name="Normal_GASB007S" xfId="22"/>
    <cellStyle name="Normal_GASB06_S" xfId="23"/>
    <cellStyle name="Normal_GASB09_S" xfId="24"/>
    <cellStyle name="Normal_GASB10_S" xfId="25"/>
    <cellStyle name="Normal_GASB11_S" xfId="26"/>
    <cellStyle name="Normal_GASBIS_S" xfId="27"/>
    <cellStyle name="Normal_Sheet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1486</v>
      </c>
      <c r="B1" s="2" t="s">
        <v>1487</v>
      </c>
      <c r="C1" s="3" t="s">
        <v>1488</v>
      </c>
    </row>
    <row r="2" spans="1:5" s="10" customFormat="1" ht="15.75" customHeight="1">
      <c r="A2" s="5" t="s">
        <v>1489</v>
      </c>
      <c r="B2" s="6"/>
      <c r="C2" s="7"/>
      <c r="D2" s="8"/>
      <c r="E2" s="9"/>
    </row>
    <row r="3" spans="1:5" s="10" customFormat="1" ht="15.75" customHeight="1">
      <c r="A3" s="11" t="s">
        <v>1490</v>
      </c>
      <c r="B3" s="12"/>
      <c r="C3" s="13"/>
      <c r="D3" s="14"/>
      <c r="E3" s="15"/>
    </row>
    <row r="4" spans="1:5" s="10" customFormat="1" ht="15.75" customHeight="1">
      <c r="A4" s="11" t="s">
        <v>1491</v>
      </c>
      <c r="B4" s="16"/>
      <c r="C4" s="13"/>
      <c r="D4" s="14"/>
      <c r="E4" s="15"/>
    </row>
    <row r="5" spans="1:5" s="22" customFormat="1" ht="12.75" customHeight="1">
      <c r="A5" s="17" t="s">
        <v>1492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1493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1494</v>
      </c>
      <c r="B9" s="24"/>
      <c r="C9" s="27"/>
      <c r="D9" s="28"/>
      <c r="E9" s="27"/>
    </row>
    <row r="10" spans="1:5" s="34" customFormat="1" ht="12.75" customHeight="1">
      <c r="A10" s="30"/>
      <c r="B10" s="31" t="s">
        <v>1495</v>
      </c>
      <c r="C10" s="35">
        <v>10408</v>
      </c>
      <c r="D10" s="36" t="s">
        <v>1496</v>
      </c>
      <c r="E10" s="35">
        <v>18803</v>
      </c>
    </row>
    <row r="11" spans="1:5" s="34" customFormat="1" ht="12.75" customHeight="1">
      <c r="A11" s="30"/>
      <c r="B11" s="31" t="s">
        <v>1497</v>
      </c>
      <c r="C11" s="37">
        <v>6932</v>
      </c>
      <c r="D11" s="38" t="s">
        <v>1498</v>
      </c>
      <c r="E11" s="37">
        <v>10312</v>
      </c>
    </row>
    <row r="12" spans="1:5" s="34" customFormat="1" ht="12.75" customHeight="1">
      <c r="A12" s="30"/>
      <c r="B12" s="31" t="s">
        <v>1499</v>
      </c>
      <c r="C12" s="37">
        <v>472</v>
      </c>
      <c r="D12" s="39"/>
      <c r="E12" s="37">
        <v>799</v>
      </c>
    </row>
    <row r="13" spans="1:5" s="34" customFormat="1" ht="12.75" customHeight="1">
      <c r="A13" s="30"/>
      <c r="B13" s="31" t="s">
        <v>1500</v>
      </c>
      <c r="C13" s="37">
        <v>963</v>
      </c>
      <c r="D13" s="39"/>
      <c r="E13" s="37">
        <v>955</v>
      </c>
    </row>
    <row r="14" spans="1:5" s="34" customFormat="1" ht="12.75" customHeight="1">
      <c r="A14" s="30"/>
      <c r="B14" s="31" t="s">
        <v>1501</v>
      </c>
      <c r="C14" s="37">
        <v>1705</v>
      </c>
      <c r="D14" s="39"/>
      <c r="E14" s="37">
        <v>1427</v>
      </c>
    </row>
    <row r="15" spans="1:5" s="34" customFormat="1" ht="12.75" customHeight="1">
      <c r="A15" s="30"/>
      <c r="B15" s="31" t="s">
        <v>1502</v>
      </c>
      <c r="C15" s="37">
        <v>3800</v>
      </c>
      <c r="D15" s="39"/>
      <c r="E15" s="37">
        <v>2981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1503</v>
      </c>
      <c r="B17" s="24"/>
      <c r="C17" s="40">
        <f>SUM(C10:C15)</f>
        <v>24280</v>
      </c>
      <c r="D17" s="41"/>
      <c r="E17" s="40">
        <f>SUM(E10:E15)</f>
        <v>35277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1504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1505</v>
      </c>
      <c r="C20" s="37">
        <v>367</v>
      </c>
      <c r="D20" s="39"/>
      <c r="E20" s="37">
        <v>583</v>
      </c>
    </row>
    <row r="21" spans="1:5" s="34" customFormat="1" ht="12.75" customHeight="1">
      <c r="A21" s="30"/>
      <c r="B21" s="31" t="s">
        <v>1506</v>
      </c>
      <c r="C21" s="37">
        <v>1788</v>
      </c>
      <c r="D21" s="39"/>
      <c r="E21" s="37">
        <v>1775</v>
      </c>
    </row>
    <row r="22" spans="1:5" s="34" customFormat="1" ht="12.75" customHeight="1">
      <c r="A22" s="30"/>
      <c r="B22" s="31" t="s">
        <v>1507</v>
      </c>
      <c r="C22" s="37">
        <v>869</v>
      </c>
      <c r="D22" s="39"/>
      <c r="E22" s="37">
        <v>884</v>
      </c>
    </row>
    <row r="23" spans="1:5" s="34" customFormat="1" ht="12.75" customHeight="1">
      <c r="A23" s="30"/>
      <c r="B23" s="31" t="s">
        <v>1508</v>
      </c>
      <c r="C23" s="37">
        <v>71321</v>
      </c>
      <c r="D23" s="39"/>
      <c r="E23" s="37">
        <v>63873</v>
      </c>
    </row>
    <row r="24" spans="1:5" s="34" customFormat="1" ht="12.75" customHeight="1">
      <c r="A24" s="30"/>
      <c r="B24" s="31" t="s">
        <v>1509</v>
      </c>
      <c r="C24" s="37">
        <v>249417</v>
      </c>
      <c r="D24" s="39"/>
      <c r="E24" s="37">
        <v>247302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1510</v>
      </c>
      <c r="B26" s="24"/>
      <c r="C26" s="40">
        <f>SUM(C20:C24)</f>
        <v>323762</v>
      </c>
      <c r="D26" s="41"/>
      <c r="E26" s="40">
        <f>SUM(E20:E24)</f>
        <v>314417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1511</v>
      </c>
      <c r="B28" s="24"/>
      <c r="C28" s="42">
        <f>C17+C26</f>
        <v>348042</v>
      </c>
      <c r="D28" s="28"/>
      <c r="E28" s="42">
        <f>E17+E26</f>
        <v>349694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1512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1513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1514</v>
      </c>
      <c r="C33" s="35">
        <v>803</v>
      </c>
      <c r="D33" s="33"/>
      <c r="E33" s="35">
        <v>4742</v>
      </c>
    </row>
    <row r="34" spans="1:5" s="34" customFormat="1" ht="12.75" customHeight="1">
      <c r="A34" s="30"/>
      <c r="B34" s="31" t="s">
        <v>1515</v>
      </c>
      <c r="C34" s="37">
        <v>5567</v>
      </c>
      <c r="D34" s="38" t="s">
        <v>1516</v>
      </c>
      <c r="E34" s="37">
        <v>5951</v>
      </c>
    </row>
    <row r="35" spans="1:5" s="34" customFormat="1" ht="12.75" customHeight="1">
      <c r="A35" s="30"/>
      <c r="B35" s="31" t="s">
        <v>1517</v>
      </c>
      <c r="C35" s="37">
        <v>9431</v>
      </c>
      <c r="D35" s="39"/>
      <c r="E35" s="37">
        <v>8021</v>
      </c>
    </row>
    <row r="36" spans="1:5" s="34" customFormat="1" ht="12.75" customHeight="1">
      <c r="A36" s="30"/>
      <c r="B36" s="31" t="s">
        <v>1518</v>
      </c>
      <c r="C36" s="37">
        <v>1791</v>
      </c>
      <c r="D36" s="38" t="s">
        <v>1519</v>
      </c>
      <c r="E36" s="37">
        <v>1559</v>
      </c>
    </row>
    <row r="37" spans="1:5" s="34" customFormat="1" ht="12.75" customHeight="1">
      <c r="A37" s="30"/>
      <c r="B37" s="31" t="s">
        <v>1520</v>
      </c>
      <c r="C37" s="37">
        <v>3378</v>
      </c>
      <c r="D37" s="39"/>
      <c r="E37" s="37">
        <v>2292</v>
      </c>
    </row>
    <row r="38" spans="1:5" s="34" customFormat="1" ht="12.75" customHeight="1">
      <c r="A38" s="30"/>
      <c r="B38" s="31" t="s">
        <v>1521</v>
      </c>
      <c r="C38" s="37">
        <v>1337</v>
      </c>
      <c r="D38" s="39"/>
      <c r="E38" s="37">
        <v>1268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1522</v>
      </c>
      <c r="B40" s="24"/>
      <c r="C40" s="40">
        <f>SUM(C33:C38)</f>
        <v>22307</v>
      </c>
      <c r="D40" s="41"/>
      <c r="E40" s="40">
        <f>SUM(E33:E38)</f>
        <v>23833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1523</v>
      </c>
      <c r="B42" s="24"/>
      <c r="C42" s="40"/>
      <c r="D42" s="41"/>
      <c r="E42" s="40"/>
    </row>
    <row r="43" spans="1:5" ht="12.75" customHeight="1">
      <c r="A43" s="30"/>
      <c r="B43" s="31"/>
      <c r="C43" s="37"/>
      <c r="D43" s="39"/>
      <c r="E43" s="37"/>
    </row>
    <row r="44" spans="1:5" s="34" customFormat="1" ht="12.75" customHeight="1">
      <c r="A44" s="30"/>
      <c r="B44" s="31" t="s">
        <v>1524</v>
      </c>
      <c r="C44" s="37">
        <v>61252</v>
      </c>
      <c r="D44" s="39"/>
      <c r="E44" s="37">
        <v>63361</v>
      </c>
    </row>
    <row r="45" spans="1:5" s="34" customFormat="1" ht="12.75" customHeight="1">
      <c r="A45" s="30"/>
      <c r="B45" s="31"/>
      <c r="C45" s="37"/>
      <c r="D45" s="39"/>
      <c r="E45" s="37"/>
    </row>
    <row r="46" spans="1:5" s="29" customFormat="1" ht="12.75" customHeight="1">
      <c r="A46" s="23" t="s">
        <v>1525</v>
      </c>
      <c r="B46" s="24"/>
      <c r="C46" s="40">
        <f>SUM(C44:C44)</f>
        <v>61252</v>
      </c>
      <c r="D46" s="41"/>
      <c r="E46" s="40">
        <f>SUM(E44:E44)</f>
        <v>63361</v>
      </c>
    </row>
    <row r="47" spans="1:5" s="34" customFormat="1" ht="12.75" customHeight="1">
      <c r="A47" s="30"/>
      <c r="B47" s="31"/>
      <c r="C47" s="37"/>
      <c r="D47" s="39"/>
      <c r="E47" s="37"/>
    </row>
    <row r="48" spans="1:5" s="29" customFormat="1" ht="12.75" customHeight="1">
      <c r="A48" s="23" t="s">
        <v>1526</v>
      </c>
      <c r="B48" s="24"/>
      <c r="C48" s="40">
        <f>C46+C40</f>
        <v>83559</v>
      </c>
      <c r="D48" s="41"/>
      <c r="E48" s="40">
        <f>E46+E40</f>
        <v>87194</v>
      </c>
    </row>
    <row r="49" spans="1:5" s="34" customFormat="1" ht="12.75" customHeight="1">
      <c r="A49" s="30"/>
      <c r="B49" s="31"/>
      <c r="C49" s="37"/>
      <c r="D49" s="39"/>
      <c r="E49" s="37"/>
    </row>
    <row r="50" spans="1:5" s="34" customFormat="1" ht="12.75" customHeight="1">
      <c r="A50" s="23" t="s">
        <v>1527</v>
      </c>
      <c r="B50" s="24"/>
      <c r="C50" s="37"/>
      <c r="D50" s="39"/>
      <c r="E50" s="37"/>
    </row>
    <row r="51" spans="1:5" s="34" customFormat="1" ht="12.75" customHeight="1">
      <c r="A51" s="30"/>
      <c r="B51" s="31"/>
      <c r="C51" s="37"/>
      <c r="D51" s="39"/>
      <c r="E51" s="37"/>
    </row>
    <row r="52" spans="1:5" s="34" customFormat="1" ht="12.75" customHeight="1">
      <c r="A52" s="30" t="s">
        <v>1528</v>
      </c>
      <c r="B52" s="31"/>
      <c r="C52" s="37">
        <v>187510</v>
      </c>
      <c r="D52" s="39"/>
      <c r="E52" s="37">
        <v>187423</v>
      </c>
    </row>
    <row r="53" spans="1:5" s="34" customFormat="1" ht="12.75" customHeight="1">
      <c r="A53" s="30" t="s">
        <v>1529</v>
      </c>
      <c r="B53" s="31"/>
      <c r="C53" s="37"/>
      <c r="D53" s="39"/>
      <c r="E53" s="37"/>
    </row>
    <row r="54" spans="1:5" s="34" customFormat="1" ht="12.75" customHeight="1">
      <c r="A54" s="30"/>
      <c r="B54" s="31" t="s">
        <v>1530</v>
      </c>
      <c r="C54" s="37">
        <v>32108</v>
      </c>
      <c r="D54" s="39"/>
      <c r="E54" s="37">
        <v>25199</v>
      </c>
    </row>
    <row r="55" spans="1:5" s="34" customFormat="1" ht="12.75" customHeight="1">
      <c r="A55" s="30"/>
      <c r="B55" s="31" t="s">
        <v>1531</v>
      </c>
      <c r="C55" s="37">
        <v>19439</v>
      </c>
      <c r="D55" s="39"/>
      <c r="E55" s="37">
        <v>21713</v>
      </c>
    </row>
    <row r="56" spans="1:5" s="34" customFormat="1" ht="12.75" customHeight="1">
      <c r="A56" s="30" t="s">
        <v>1532</v>
      </c>
      <c r="B56" s="31"/>
      <c r="C56" s="37">
        <v>25426</v>
      </c>
      <c r="D56" s="39"/>
      <c r="E56" s="37">
        <v>28165</v>
      </c>
    </row>
    <row r="57" spans="1:5" s="29" customFormat="1" ht="12.75" customHeight="1">
      <c r="A57" s="23"/>
      <c r="B57" s="24"/>
      <c r="C57" s="40"/>
      <c r="D57" s="41"/>
      <c r="E57" s="40"/>
    </row>
    <row r="58" spans="1:5" s="29" customFormat="1" ht="12.75" customHeight="1">
      <c r="A58" s="23" t="s">
        <v>1533</v>
      </c>
      <c r="B58" s="24"/>
      <c r="C58" s="40">
        <f>SUM(C52:C56)</f>
        <v>264483</v>
      </c>
      <c r="D58" s="41"/>
      <c r="E58" s="40">
        <f>SUM(E52:E56)</f>
        <v>262500</v>
      </c>
    </row>
    <row r="59" spans="1:5" s="34" customFormat="1" ht="12.75" customHeight="1">
      <c r="A59" s="30"/>
      <c r="B59" s="31"/>
      <c r="C59" s="32"/>
      <c r="D59" s="33"/>
      <c r="E59" s="32"/>
    </row>
    <row r="60" spans="1:5" s="29" customFormat="1" ht="12.75" customHeight="1">
      <c r="A60" s="23" t="s">
        <v>1534</v>
      </c>
      <c r="B60" s="24"/>
      <c r="C60" s="42">
        <f>C58+C48</f>
        <v>348042</v>
      </c>
      <c r="D60" s="28"/>
      <c r="E60" s="42">
        <f>E58+E48</f>
        <v>349694</v>
      </c>
    </row>
    <row r="61" spans="1:4" s="34" customFormat="1" ht="12.75" customHeight="1" hidden="1">
      <c r="A61" s="30"/>
      <c r="B61" s="31"/>
      <c r="C61" s="32"/>
      <c r="D61" s="33"/>
    </row>
    <row r="62" spans="1:4" s="45" customFormat="1" ht="11.25" hidden="1">
      <c r="A62" s="43" t="s">
        <v>1535</v>
      </c>
      <c r="B62" s="33"/>
      <c r="C62" s="44"/>
      <c r="D62" s="33"/>
    </row>
    <row r="63" spans="1:4" s="45" customFormat="1" ht="11.25" hidden="1">
      <c r="A63" s="46" t="s">
        <v>1536</v>
      </c>
      <c r="B63" s="33"/>
      <c r="C63" s="44"/>
      <c r="D63" s="33"/>
    </row>
    <row r="64" spans="1:4" s="45" customFormat="1" ht="11.25" hidden="1">
      <c r="A64" s="46" t="s">
        <v>1537</v>
      </c>
      <c r="B64" s="33"/>
      <c r="C64" s="44"/>
      <c r="D64" s="33"/>
    </row>
    <row r="65" spans="1:4" s="45" customFormat="1" ht="11.25" hidden="1">
      <c r="A65" s="46" t="s">
        <v>1538</v>
      </c>
      <c r="B65" s="33"/>
      <c r="C65" s="44"/>
      <c r="D65" s="33"/>
    </row>
    <row r="66" spans="1:3" ht="12.75">
      <c r="A66" s="47"/>
      <c r="C66" s="47"/>
    </row>
    <row r="67" spans="1:3" ht="12.75">
      <c r="A67" s="48" t="s">
        <v>1539</v>
      </c>
      <c r="C67" s="34"/>
    </row>
    <row r="68" spans="1:3" ht="12.75">
      <c r="A68" s="34"/>
      <c r="C68" s="34"/>
    </row>
    <row r="69" spans="1:3" ht="12.75">
      <c r="A69" s="34"/>
      <c r="C69" s="34"/>
    </row>
    <row r="70" spans="1:3" ht="12.75">
      <c r="A70" s="34"/>
      <c r="C70" s="34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95"/>
  <sheetViews>
    <sheetView workbookViewId="0" topLeftCell="A2">
      <pane xSplit="3" ySplit="5" topLeftCell="D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7" sqref="B7"/>
    </sheetView>
  </sheetViews>
  <sheetFormatPr defaultColWidth="9.140625" defaultRowHeight="12.75" outlineLevelRow="1"/>
  <cols>
    <col min="1" max="1" width="4.7109375" style="386" hidden="1" customWidth="1"/>
    <col min="2" max="2" width="69.28125" style="386" customWidth="1"/>
    <col min="3" max="3" width="7.00390625" style="375" customWidth="1"/>
    <col min="4" max="5" width="16.140625" style="417" customWidth="1"/>
    <col min="6" max="8" width="16.140625" style="386" customWidth="1"/>
    <col min="9" max="9" width="8.00390625" style="377" hidden="1" customWidth="1"/>
    <col min="10" max="52" width="8.00390625" style="377" customWidth="1"/>
    <col min="53" max="16384" width="8.00390625" style="386" customWidth="1"/>
  </cols>
  <sheetData>
    <row r="1" spans="1:52" s="374" customFormat="1" ht="110.25" customHeight="1" hidden="1">
      <c r="A1" s="374" t="s">
        <v>567</v>
      </c>
      <c r="B1" s="374" t="s">
        <v>1487</v>
      </c>
      <c r="C1" s="375" t="s">
        <v>1392</v>
      </c>
      <c r="D1" s="376" t="s">
        <v>670</v>
      </c>
      <c r="E1" s="376" t="s">
        <v>671</v>
      </c>
      <c r="F1" s="374" t="s">
        <v>672</v>
      </c>
      <c r="G1" s="374" t="s">
        <v>673</v>
      </c>
      <c r="H1" s="374" t="s">
        <v>674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</row>
    <row r="2" spans="2:52" s="378" customFormat="1" ht="15.75" customHeight="1">
      <c r="B2" s="379" t="str">
        <f>"University of Missouri - "&amp;I2</f>
        <v>University of Missouri - St. Louis</v>
      </c>
      <c r="C2" s="380"/>
      <c r="D2" s="380"/>
      <c r="E2" s="380"/>
      <c r="F2" s="380"/>
      <c r="G2" s="380"/>
      <c r="H2" s="381"/>
      <c r="I2" s="382" t="s">
        <v>1657</v>
      </c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</row>
    <row r="3" spans="2:52" s="378" customFormat="1" ht="15.75" customHeight="1">
      <c r="B3" s="383" t="s">
        <v>675</v>
      </c>
      <c r="C3" s="384"/>
      <c r="D3" s="384"/>
      <c r="E3" s="384"/>
      <c r="F3" s="384"/>
      <c r="G3" s="384"/>
      <c r="H3" s="385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</row>
    <row r="4" spans="2:9" ht="15.75" customHeight="1">
      <c r="B4" s="387" t="str">
        <f>"For the Year Ending "&amp;TEXT(I4,"MMMM DD, YYY")</f>
        <v>For the Year Ending June 30, 2004</v>
      </c>
      <c r="C4" s="388"/>
      <c r="D4" s="388"/>
      <c r="E4" s="388"/>
      <c r="F4" s="388"/>
      <c r="G4" s="388"/>
      <c r="H4" s="389"/>
      <c r="I4" s="377" t="s">
        <v>1656</v>
      </c>
    </row>
    <row r="5" spans="2:8" ht="12.75" customHeight="1">
      <c r="B5" s="390"/>
      <c r="C5" s="391"/>
      <c r="D5" s="392"/>
      <c r="E5" s="392"/>
      <c r="F5" s="392"/>
      <c r="G5" s="392"/>
      <c r="H5" s="393"/>
    </row>
    <row r="6" spans="2:8" ht="30" customHeight="1">
      <c r="B6" s="394"/>
      <c r="C6" s="395"/>
      <c r="D6" s="396" t="s">
        <v>633</v>
      </c>
      <c r="E6" s="396" t="s">
        <v>676</v>
      </c>
      <c r="F6" s="396" t="s">
        <v>677</v>
      </c>
      <c r="G6" s="396" t="s">
        <v>641</v>
      </c>
      <c r="H6" s="396" t="s">
        <v>678</v>
      </c>
    </row>
    <row r="7" spans="2:8" ht="12.75" customHeight="1">
      <c r="B7" s="394"/>
      <c r="C7" s="395"/>
      <c r="D7" s="397"/>
      <c r="E7" s="397"/>
      <c r="F7" s="397"/>
      <c r="G7" s="397"/>
      <c r="H7" s="397"/>
    </row>
    <row r="8" spans="2:8" ht="12.75" customHeight="1">
      <c r="B8" s="398" t="s">
        <v>1542</v>
      </c>
      <c r="C8" s="399"/>
      <c r="D8" s="400"/>
      <c r="E8" s="400"/>
      <c r="F8" s="400"/>
      <c r="G8" s="400"/>
      <c r="H8" s="400"/>
    </row>
    <row r="9" spans="1:52" s="374" customFormat="1" ht="38.25" hidden="1" outlineLevel="1">
      <c r="A9" s="374" t="s">
        <v>410</v>
      </c>
      <c r="B9" s="374" t="s">
        <v>411</v>
      </c>
      <c r="C9" s="375" t="s">
        <v>412</v>
      </c>
      <c r="D9" s="376">
        <v>0</v>
      </c>
      <c r="E9" s="376">
        <v>0</v>
      </c>
      <c r="F9" s="374">
        <v>-25926.43</v>
      </c>
      <c r="G9" s="374">
        <v>0</v>
      </c>
      <c r="H9" s="374">
        <v>-29556.1</v>
      </c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</row>
    <row r="10" spans="1:52" s="374" customFormat="1" ht="38.25" hidden="1" outlineLevel="1">
      <c r="A10" s="374" t="s">
        <v>413</v>
      </c>
      <c r="B10" s="374" t="s">
        <v>414</v>
      </c>
      <c r="C10" s="375" t="s">
        <v>415</v>
      </c>
      <c r="D10" s="376">
        <v>0</v>
      </c>
      <c r="E10" s="376">
        <v>0</v>
      </c>
      <c r="F10" s="374">
        <v>164560.85</v>
      </c>
      <c r="G10" s="374">
        <v>0</v>
      </c>
      <c r="H10" s="374">
        <v>187599.29</v>
      </c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</row>
    <row r="11" spans="1:52" s="374" customFormat="1" ht="38.25" hidden="1" outlineLevel="1">
      <c r="A11" s="374" t="s">
        <v>416</v>
      </c>
      <c r="B11" s="374" t="s">
        <v>417</v>
      </c>
      <c r="C11" s="375" t="s">
        <v>418</v>
      </c>
      <c r="D11" s="376">
        <v>0</v>
      </c>
      <c r="E11" s="376">
        <v>0</v>
      </c>
      <c r="F11" s="374">
        <v>54683.83</v>
      </c>
      <c r="G11" s="374">
        <v>0</v>
      </c>
      <c r="H11" s="374">
        <v>62339.54</v>
      </c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</row>
    <row r="12" spans="1:52" s="374" customFormat="1" ht="38.25" hidden="1" outlineLevel="1">
      <c r="A12" s="374" t="s">
        <v>419</v>
      </c>
      <c r="B12" s="374" t="s">
        <v>420</v>
      </c>
      <c r="C12" s="375" t="s">
        <v>421</v>
      </c>
      <c r="D12" s="376">
        <v>0</v>
      </c>
      <c r="E12" s="376">
        <v>0</v>
      </c>
      <c r="F12" s="374">
        <v>815089.27</v>
      </c>
      <c r="G12" s="374">
        <v>0</v>
      </c>
      <c r="H12" s="374">
        <v>929201.31</v>
      </c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</row>
    <row r="13" spans="1:52" s="374" customFormat="1" ht="38.25" hidden="1" outlineLevel="1">
      <c r="A13" s="374" t="s">
        <v>422</v>
      </c>
      <c r="B13" s="374" t="s">
        <v>423</v>
      </c>
      <c r="C13" s="375" t="s">
        <v>424</v>
      </c>
      <c r="D13" s="376">
        <v>0</v>
      </c>
      <c r="E13" s="376">
        <v>0</v>
      </c>
      <c r="F13" s="374">
        <v>141594.26</v>
      </c>
      <c r="G13" s="374">
        <v>0</v>
      </c>
      <c r="H13" s="374">
        <v>161417.39</v>
      </c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</row>
    <row r="14" spans="1:52" s="374" customFormat="1" ht="38.25" hidden="1" outlineLevel="1">
      <c r="A14" s="374" t="s">
        <v>425</v>
      </c>
      <c r="B14" s="374" t="s">
        <v>426</v>
      </c>
      <c r="C14" s="375" t="s">
        <v>427</v>
      </c>
      <c r="D14" s="376">
        <v>0</v>
      </c>
      <c r="E14" s="376">
        <v>0</v>
      </c>
      <c r="F14" s="374">
        <v>757871.61</v>
      </c>
      <c r="G14" s="374">
        <v>0</v>
      </c>
      <c r="H14" s="374">
        <v>863973.21</v>
      </c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</row>
    <row r="15" spans="1:52" s="374" customFormat="1" ht="38.25" hidden="1" outlineLevel="1">
      <c r="A15" s="374" t="s">
        <v>428</v>
      </c>
      <c r="B15" s="374" t="s">
        <v>429</v>
      </c>
      <c r="C15" s="375" t="s">
        <v>430</v>
      </c>
      <c r="D15" s="376">
        <v>0</v>
      </c>
      <c r="E15" s="376">
        <v>0</v>
      </c>
      <c r="F15" s="374">
        <v>131563.61</v>
      </c>
      <c r="G15" s="374">
        <v>0</v>
      </c>
      <c r="H15" s="374">
        <v>149982.46</v>
      </c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</row>
    <row r="16" spans="1:52" s="374" customFormat="1" ht="38.25" hidden="1" outlineLevel="1">
      <c r="A16" s="374" t="s">
        <v>1926</v>
      </c>
      <c r="B16" s="374" t="s">
        <v>1927</v>
      </c>
      <c r="C16" s="375" t="s">
        <v>1928</v>
      </c>
      <c r="D16" s="376">
        <v>0</v>
      </c>
      <c r="E16" s="376">
        <v>0</v>
      </c>
      <c r="F16" s="374">
        <v>-35238.78</v>
      </c>
      <c r="G16" s="374">
        <v>0</v>
      </c>
      <c r="H16" s="374">
        <v>0</v>
      </c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</row>
    <row r="17" spans="1:52" s="374" customFormat="1" ht="38.25" hidden="1" outlineLevel="1">
      <c r="A17" s="374" t="s">
        <v>1929</v>
      </c>
      <c r="B17" s="374" t="s">
        <v>1930</v>
      </c>
      <c r="C17" s="375" t="s">
        <v>1931</v>
      </c>
      <c r="D17" s="376">
        <v>0</v>
      </c>
      <c r="E17" s="376">
        <v>0</v>
      </c>
      <c r="F17" s="374">
        <v>-24596.47</v>
      </c>
      <c r="G17" s="374">
        <v>0</v>
      </c>
      <c r="H17" s="374">
        <v>0</v>
      </c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</row>
    <row r="18" spans="1:52" s="374" customFormat="1" ht="38.25" hidden="1" outlineLevel="1">
      <c r="A18" s="374" t="s">
        <v>1932</v>
      </c>
      <c r="B18" s="374" t="s">
        <v>1933</v>
      </c>
      <c r="C18" s="375" t="s">
        <v>1934</v>
      </c>
      <c r="D18" s="376">
        <v>0</v>
      </c>
      <c r="E18" s="376">
        <v>0</v>
      </c>
      <c r="F18" s="374">
        <v>-29163.43</v>
      </c>
      <c r="G18" s="374">
        <v>0</v>
      </c>
      <c r="H18" s="374">
        <v>0</v>
      </c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</row>
    <row r="19" spans="1:52" s="374" customFormat="1" ht="38.25" hidden="1" outlineLevel="1">
      <c r="A19" s="374" t="s">
        <v>1935</v>
      </c>
      <c r="B19" s="374" t="s">
        <v>1936</v>
      </c>
      <c r="C19" s="375" t="s">
        <v>1937</v>
      </c>
      <c r="D19" s="376">
        <v>0</v>
      </c>
      <c r="E19" s="376">
        <v>0</v>
      </c>
      <c r="F19" s="374">
        <v>-187.55</v>
      </c>
      <c r="G19" s="374">
        <v>0</v>
      </c>
      <c r="H19" s="374">
        <v>0</v>
      </c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</row>
    <row r="20" spans="1:52" s="374" customFormat="1" ht="38.25" hidden="1" outlineLevel="1">
      <c r="A20" s="374" t="s">
        <v>1947</v>
      </c>
      <c r="B20" s="374" t="s">
        <v>1948</v>
      </c>
      <c r="C20" s="375" t="s">
        <v>1949</v>
      </c>
      <c r="D20" s="376">
        <v>0</v>
      </c>
      <c r="E20" s="376">
        <v>0</v>
      </c>
      <c r="F20" s="374">
        <v>-190522.73</v>
      </c>
      <c r="G20" s="374">
        <v>0</v>
      </c>
      <c r="H20" s="374">
        <v>0</v>
      </c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</row>
    <row r="21" spans="1:52" s="374" customFormat="1" ht="38.25" hidden="1" outlineLevel="1">
      <c r="A21" s="374" t="s">
        <v>1950</v>
      </c>
      <c r="B21" s="374" t="s">
        <v>1951</v>
      </c>
      <c r="C21" s="375" t="s">
        <v>1952</v>
      </c>
      <c r="D21" s="376">
        <v>0</v>
      </c>
      <c r="E21" s="376">
        <v>0</v>
      </c>
      <c r="F21" s="374">
        <v>-181233.9</v>
      </c>
      <c r="G21" s="374">
        <v>0</v>
      </c>
      <c r="H21" s="374">
        <v>0</v>
      </c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</row>
    <row r="22" spans="1:52" s="374" customFormat="1" ht="38.25" hidden="1" outlineLevel="1">
      <c r="A22" s="374" t="s">
        <v>1953</v>
      </c>
      <c r="B22" s="374" t="s">
        <v>1954</v>
      </c>
      <c r="C22" s="375" t="s">
        <v>1955</v>
      </c>
      <c r="D22" s="376">
        <v>0</v>
      </c>
      <c r="E22" s="376">
        <v>0</v>
      </c>
      <c r="F22" s="374">
        <v>-1666.84</v>
      </c>
      <c r="G22" s="374">
        <v>0</v>
      </c>
      <c r="H22" s="374">
        <v>0</v>
      </c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</row>
    <row r="23" spans="1:52" s="374" customFormat="1" ht="38.25" hidden="1" outlineLevel="1">
      <c r="A23" s="374" t="s">
        <v>679</v>
      </c>
      <c r="B23" s="374" t="s">
        <v>680</v>
      </c>
      <c r="C23" s="375" t="s">
        <v>681</v>
      </c>
      <c r="D23" s="376">
        <v>0</v>
      </c>
      <c r="E23" s="376">
        <v>0</v>
      </c>
      <c r="F23" s="374">
        <v>-18600</v>
      </c>
      <c r="G23" s="374">
        <v>0</v>
      </c>
      <c r="H23" s="374">
        <v>0</v>
      </c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</row>
    <row r="24" spans="1:52" ht="12.75" customHeight="1" collapsed="1">
      <c r="A24" s="386" t="s">
        <v>682</v>
      </c>
      <c r="B24" s="401" t="s">
        <v>683</v>
      </c>
      <c r="C24" s="402"/>
      <c r="D24" s="403">
        <v>0</v>
      </c>
      <c r="E24" s="403">
        <v>0</v>
      </c>
      <c r="F24" s="403">
        <v>1558227.3</v>
      </c>
      <c r="G24" s="403">
        <v>0</v>
      </c>
      <c r="H24" s="403">
        <v>2324957.1</v>
      </c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</row>
    <row r="25" spans="1:52" s="374" customFormat="1" ht="38.25" hidden="1" outlineLevel="1">
      <c r="A25" s="374" t="s">
        <v>440</v>
      </c>
      <c r="B25" s="374" t="s">
        <v>441</v>
      </c>
      <c r="C25" s="375" t="s">
        <v>442</v>
      </c>
      <c r="D25" s="376">
        <v>824160.27</v>
      </c>
      <c r="E25" s="376">
        <v>0</v>
      </c>
      <c r="F25" s="374">
        <v>0</v>
      </c>
      <c r="G25" s="374">
        <v>0</v>
      </c>
      <c r="H25" s="374">
        <v>0</v>
      </c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</row>
    <row r="26" spans="1:52" s="374" customFormat="1" ht="38.25" hidden="1" outlineLevel="1">
      <c r="A26" s="374" t="s">
        <v>684</v>
      </c>
      <c r="B26" s="374" t="s">
        <v>685</v>
      </c>
      <c r="C26" s="375" t="s">
        <v>686</v>
      </c>
      <c r="D26" s="376">
        <v>0</v>
      </c>
      <c r="E26" s="376">
        <v>0</v>
      </c>
      <c r="F26" s="374">
        <v>17895.8</v>
      </c>
      <c r="G26" s="374">
        <v>0</v>
      </c>
      <c r="H26" s="374">
        <v>0</v>
      </c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</row>
    <row r="27" spans="1:52" s="374" customFormat="1" ht="38.25" hidden="1" outlineLevel="1">
      <c r="A27" s="374" t="s">
        <v>449</v>
      </c>
      <c r="B27" s="374" t="s">
        <v>450</v>
      </c>
      <c r="C27" s="375" t="s">
        <v>451</v>
      </c>
      <c r="D27" s="376">
        <v>0</v>
      </c>
      <c r="E27" s="376">
        <v>0</v>
      </c>
      <c r="F27" s="374">
        <v>1592.55</v>
      </c>
      <c r="G27" s="374">
        <v>0</v>
      </c>
      <c r="H27" s="374">
        <v>0</v>
      </c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</row>
    <row r="28" spans="1:52" s="374" customFormat="1" ht="38.25" hidden="1" outlineLevel="1">
      <c r="A28" s="374" t="s">
        <v>687</v>
      </c>
      <c r="B28" s="374" t="s">
        <v>688</v>
      </c>
      <c r="C28" s="375" t="s">
        <v>689</v>
      </c>
      <c r="D28" s="376">
        <v>5308014.6</v>
      </c>
      <c r="E28" s="376">
        <v>0</v>
      </c>
      <c r="F28" s="374">
        <v>0</v>
      </c>
      <c r="G28" s="374">
        <v>0</v>
      </c>
      <c r="H28" s="374">
        <v>0</v>
      </c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</row>
    <row r="29" spans="1:52" s="374" customFormat="1" ht="38.25" hidden="1" outlineLevel="1">
      <c r="A29" s="374" t="s">
        <v>452</v>
      </c>
      <c r="B29" s="374" t="s">
        <v>453</v>
      </c>
      <c r="C29" s="375" t="s">
        <v>454</v>
      </c>
      <c r="D29" s="376">
        <v>819614.75</v>
      </c>
      <c r="E29" s="376">
        <v>1787342.12</v>
      </c>
      <c r="F29" s="374">
        <v>86539.07</v>
      </c>
      <c r="G29" s="374">
        <v>2848827.56</v>
      </c>
      <c r="H29" s="374">
        <v>227505.5</v>
      </c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</row>
    <row r="30" spans="1:52" s="374" customFormat="1" ht="38.25" hidden="1" outlineLevel="1">
      <c r="A30" s="374" t="s">
        <v>690</v>
      </c>
      <c r="B30" s="374" t="s">
        <v>691</v>
      </c>
      <c r="C30" s="375" t="s">
        <v>692</v>
      </c>
      <c r="D30" s="376">
        <v>0</v>
      </c>
      <c r="E30" s="376">
        <v>0</v>
      </c>
      <c r="F30" s="374">
        <v>-1000</v>
      </c>
      <c r="G30" s="374">
        <v>0</v>
      </c>
      <c r="H30" s="374">
        <v>0</v>
      </c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</row>
    <row r="31" spans="1:52" s="374" customFormat="1" ht="38.25" hidden="1" outlineLevel="1">
      <c r="A31" s="374" t="s">
        <v>693</v>
      </c>
      <c r="B31" s="374" t="s">
        <v>694</v>
      </c>
      <c r="C31" s="375" t="s">
        <v>695</v>
      </c>
      <c r="D31" s="376">
        <v>0</v>
      </c>
      <c r="E31" s="376">
        <v>3721.18</v>
      </c>
      <c r="F31" s="374">
        <v>0</v>
      </c>
      <c r="G31" s="374">
        <v>0</v>
      </c>
      <c r="H31" s="374">
        <v>42058.67</v>
      </c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</row>
    <row r="32" spans="1:52" s="374" customFormat="1" ht="38.25" hidden="1" outlineLevel="1">
      <c r="A32" s="374" t="s">
        <v>696</v>
      </c>
      <c r="B32" s="374" t="s">
        <v>697</v>
      </c>
      <c r="C32" s="375" t="s">
        <v>698</v>
      </c>
      <c r="D32" s="376">
        <v>0</v>
      </c>
      <c r="E32" s="376">
        <v>-2082.02</v>
      </c>
      <c r="F32" s="374">
        <v>0</v>
      </c>
      <c r="G32" s="374">
        <v>0</v>
      </c>
      <c r="H32" s="374">
        <v>0</v>
      </c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</row>
    <row r="33" spans="1:52" s="374" customFormat="1" ht="38.25" hidden="1" outlineLevel="1">
      <c r="A33" s="374" t="s">
        <v>699</v>
      </c>
      <c r="B33" s="374" t="s">
        <v>700</v>
      </c>
      <c r="C33" s="375" t="s">
        <v>701</v>
      </c>
      <c r="D33" s="376">
        <v>0</v>
      </c>
      <c r="E33" s="376">
        <v>40</v>
      </c>
      <c r="F33" s="374">
        <v>375</v>
      </c>
      <c r="G33" s="374">
        <v>0</v>
      </c>
      <c r="H33" s="374">
        <v>0</v>
      </c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</row>
    <row r="34" spans="1:52" s="374" customFormat="1" ht="38.25" hidden="1" outlineLevel="1">
      <c r="A34" s="374" t="s">
        <v>702</v>
      </c>
      <c r="B34" s="374" t="s">
        <v>703</v>
      </c>
      <c r="C34" s="375" t="s">
        <v>704</v>
      </c>
      <c r="D34" s="376">
        <v>0</v>
      </c>
      <c r="E34" s="376">
        <v>32297.31</v>
      </c>
      <c r="F34" s="374">
        <v>0</v>
      </c>
      <c r="G34" s="374">
        <v>0</v>
      </c>
      <c r="H34" s="374">
        <v>0</v>
      </c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</row>
    <row r="35" spans="1:52" s="374" customFormat="1" ht="38.25" hidden="1" outlineLevel="1">
      <c r="A35" s="374" t="s">
        <v>705</v>
      </c>
      <c r="B35" s="374" t="s">
        <v>706</v>
      </c>
      <c r="C35" s="375" t="s">
        <v>707</v>
      </c>
      <c r="D35" s="376">
        <v>0</v>
      </c>
      <c r="E35" s="376">
        <v>629162</v>
      </c>
      <c r="F35" s="374">
        <v>2565</v>
      </c>
      <c r="G35" s="374">
        <v>0</v>
      </c>
      <c r="H35" s="374">
        <v>0</v>
      </c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</row>
    <row r="36" spans="1:52" s="374" customFormat="1" ht="38.25" hidden="1" outlineLevel="1">
      <c r="A36" s="374" t="s">
        <v>708</v>
      </c>
      <c r="B36" s="374" t="s">
        <v>709</v>
      </c>
      <c r="C36" s="375" t="s">
        <v>710</v>
      </c>
      <c r="D36" s="376">
        <v>0</v>
      </c>
      <c r="E36" s="376">
        <v>0</v>
      </c>
      <c r="F36" s="374">
        <v>0</v>
      </c>
      <c r="G36" s="374">
        <v>1335037.7</v>
      </c>
      <c r="H36" s="374">
        <v>3856.21</v>
      </c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</row>
    <row r="37" spans="1:52" s="374" customFormat="1" ht="38.25" hidden="1" outlineLevel="1">
      <c r="A37" s="374" t="s">
        <v>455</v>
      </c>
      <c r="B37" s="374" t="s">
        <v>456</v>
      </c>
      <c r="C37" s="375" t="s">
        <v>457</v>
      </c>
      <c r="D37" s="376">
        <v>0</v>
      </c>
      <c r="E37" s="376">
        <v>0</v>
      </c>
      <c r="F37" s="374">
        <v>5</v>
      </c>
      <c r="G37" s="374">
        <v>0</v>
      </c>
      <c r="H37" s="374">
        <v>0</v>
      </c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</row>
    <row r="38" spans="1:52" ht="12.75" customHeight="1" collapsed="1">
      <c r="A38" s="386" t="s">
        <v>1964</v>
      </c>
      <c r="B38" s="401" t="s">
        <v>711</v>
      </c>
      <c r="C38" s="402"/>
      <c r="D38" s="404">
        <v>6951789.619999999</v>
      </c>
      <c r="E38" s="404">
        <v>2450480.59</v>
      </c>
      <c r="F38" s="404">
        <v>107972.42</v>
      </c>
      <c r="G38" s="404">
        <v>4183865.26</v>
      </c>
      <c r="H38" s="404">
        <v>273420.38</v>
      </c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</row>
    <row r="39" spans="1:52" s="374" customFormat="1" ht="38.25" hidden="1" outlineLevel="1">
      <c r="A39" s="374" t="s">
        <v>2023</v>
      </c>
      <c r="B39" s="374" t="s">
        <v>2024</v>
      </c>
      <c r="C39" s="375" t="s">
        <v>2025</v>
      </c>
      <c r="D39" s="405">
        <v>0</v>
      </c>
      <c r="E39" s="405">
        <v>0</v>
      </c>
      <c r="F39" s="406">
        <v>4499.91</v>
      </c>
      <c r="G39" s="406">
        <v>0</v>
      </c>
      <c r="H39" s="406">
        <v>0</v>
      </c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</row>
    <row r="40" spans="1:52" ht="12.75" customHeight="1" collapsed="1">
      <c r="A40" s="386" t="s">
        <v>712</v>
      </c>
      <c r="B40" s="401" t="s">
        <v>713</v>
      </c>
      <c r="C40" s="402"/>
      <c r="D40" s="404">
        <v>0</v>
      </c>
      <c r="E40" s="404">
        <v>0</v>
      </c>
      <c r="F40" s="404">
        <v>4499.91</v>
      </c>
      <c r="G40" s="404">
        <v>0</v>
      </c>
      <c r="H40" s="404">
        <v>0</v>
      </c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</row>
    <row r="41" spans="2:52" s="407" customFormat="1" ht="12.75" customHeight="1">
      <c r="B41" s="398" t="s">
        <v>714</v>
      </c>
      <c r="C41" s="399"/>
      <c r="D41" s="408">
        <f>D24+D38+D40</f>
        <v>6951789.619999999</v>
      </c>
      <c r="E41" s="408">
        <f>E24+E38+E40</f>
        <v>2450480.59</v>
      </c>
      <c r="F41" s="408">
        <f>F24+F38+F40</f>
        <v>1670699.63</v>
      </c>
      <c r="G41" s="408">
        <f>G24+G38+G40</f>
        <v>4183865.26</v>
      </c>
      <c r="H41" s="408">
        <f>H24+H38+H40</f>
        <v>2598377.48</v>
      </c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</row>
    <row r="42" spans="2:52" ht="12.75" customHeight="1">
      <c r="B42" s="401"/>
      <c r="C42" s="402"/>
      <c r="D42" s="404"/>
      <c r="E42" s="404"/>
      <c r="F42" s="404"/>
      <c r="G42" s="404"/>
      <c r="H42" s="404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</row>
    <row r="43" spans="2:52" ht="12.75" customHeight="1">
      <c r="B43" s="409" t="s">
        <v>1557</v>
      </c>
      <c r="C43" s="410"/>
      <c r="D43" s="404"/>
      <c r="E43" s="404"/>
      <c r="F43" s="404"/>
      <c r="G43" s="404"/>
      <c r="H43" s="404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</row>
    <row r="44" spans="1:52" s="374" customFormat="1" ht="38.25" hidden="1" outlineLevel="1">
      <c r="A44" s="374" t="s">
        <v>2045</v>
      </c>
      <c r="B44" s="374" t="s">
        <v>2046</v>
      </c>
      <c r="C44" s="375" t="s">
        <v>2047</v>
      </c>
      <c r="D44" s="405">
        <v>249583.94</v>
      </c>
      <c r="E44" s="405">
        <v>102890.87</v>
      </c>
      <c r="F44" s="406">
        <v>157414.63</v>
      </c>
      <c r="G44" s="406">
        <v>32750</v>
      </c>
      <c r="H44" s="406">
        <v>68951.32</v>
      </c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</row>
    <row r="45" spans="1:52" s="374" customFormat="1" ht="38.25" hidden="1" outlineLevel="1">
      <c r="A45" s="374" t="s">
        <v>2048</v>
      </c>
      <c r="B45" s="374" t="s">
        <v>2049</v>
      </c>
      <c r="C45" s="375" t="s">
        <v>2050</v>
      </c>
      <c r="D45" s="405">
        <v>29033.14</v>
      </c>
      <c r="E45" s="405">
        <v>26817.4</v>
      </c>
      <c r="F45" s="406">
        <v>418184.44</v>
      </c>
      <c r="G45" s="406">
        <v>40412.5</v>
      </c>
      <c r="H45" s="406">
        <v>26635.1</v>
      </c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</row>
    <row r="46" spans="1:52" s="374" customFormat="1" ht="38.25" hidden="1" outlineLevel="1">
      <c r="A46" s="374" t="s">
        <v>2051</v>
      </c>
      <c r="B46" s="374" t="s">
        <v>2052</v>
      </c>
      <c r="C46" s="375" t="s">
        <v>2053</v>
      </c>
      <c r="D46" s="405">
        <v>0</v>
      </c>
      <c r="E46" s="405">
        <v>0</v>
      </c>
      <c r="F46" s="406">
        <v>0</v>
      </c>
      <c r="G46" s="406">
        <v>0</v>
      </c>
      <c r="H46" s="406">
        <v>38687.25</v>
      </c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</row>
    <row r="47" spans="1:52" s="374" customFormat="1" ht="38.25" hidden="1" outlineLevel="1">
      <c r="A47" s="374" t="s">
        <v>2054</v>
      </c>
      <c r="B47" s="374" t="s">
        <v>2055</v>
      </c>
      <c r="C47" s="375" t="s">
        <v>2056</v>
      </c>
      <c r="D47" s="405">
        <v>208374.12</v>
      </c>
      <c r="E47" s="405">
        <v>32855.1</v>
      </c>
      <c r="F47" s="406">
        <v>40890.7</v>
      </c>
      <c r="G47" s="406">
        <v>42586.81</v>
      </c>
      <c r="H47" s="406">
        <v>6506.43</v>
      </c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</row>
    <row r="48" spans="1:52" s="374" customFormat="1" ht="38.25" hidden="1" outlineLevel="1">
      <c r="A48" s="374" t="s">
        <v>2057</v>
      </c>
      <c r="B48" s="374" t="s">
        <v>2058</v>
      </c>
      <c r="C48" s="375" t="s">
        <v>2059</v>
      </c>
      <c r="D48" s="405">
        <v>0</v>
      </c>
      <c r="E48" s="405">
        <v>0</v>
      </c>
      <c r="F48" s="406">
        <v>0</v>
      </c>
      <c r="G48" s="406">
        <v>54.15</v>
      </c>
      <c r="H48" s="406">
        <v>302.29</v>
      </c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</row>
    <row r="49" spans="1:52" s="374" customFormat="1" ht="38.25" hidden="1" outlineLevel="1">
      <c r="A49" s="374" t="s">
        <v>2060</v>
      </c>
      <c r="B49" s="374" t="s">
        <v>2061</v>
      </c>
      <c r="C49" s="375" t="s">
        <v>2062</v>
      </c>
      <c r="D49" s="405">
        <v>48888.31</v>
      </c>
      <c r="E49" s="405">
        <v>0</v>
      </c>
      <c r="F49" s="406">
        <v>11212.9</v>
      </c>
      <c r="G49" s="406">
        <v>96879.89</v>
      </c>
      <c r="H49" s="406">
        <v>133.35</v>
      </c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</row>
    <row r="50" spans="1:52" s="374" customFormat="1" ht="38.25" hidden="1" outlineLevel="1">
      <c r="A50" s="374" t="s">
        <v>2063</v>
      </c>
      <c r="B50" s="374" t="s">
        <v>2064</v>
      </c>
      <c r="C50" s="375" t="s">
        <v>2065</v>
      </c>
      <c r="D50" s="405">
        <v>22620.92</v>
      </c>
      <c r="E50" s="405">
        <v>53154.91</v>
      </c>
      <c r="F50" s="406">
        <v>45691.77</v>
      </c>
      <c r="G50" s="406">
        <v>8420.37</v>
      </c>
      <c r="H50" s="406">
        <v>-77.63</v>
      </c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</row>
    <row r="51" spans="1:52" s="374" customFormat="1" ht="38.25" hidden="1" outlineLevel="1">
      <c r="A51" s="374" t="s">
        <v>2069</v>
      </c>
      <c r="B51" s="374" t="s">
        <v>2070</v>
      </c>
      <c r="C51" s="375" t="s">
        <v>2071</v>
      </c>
      <c r="D51" s="405">
        <v>5640.86</v>
      </c>
      <c r="E51" s="405">
        <v>-5741.95</v>
      </c>
      <c r="F51" s="406">
        <v>-236.55</v>
      </c>
      <c r="G51" s="406">
        <v>-5711.19</v>
      </c>
      <c r="H51" s="406">
        <v>1928.24</v>
      </c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</row>
    <row r="52" spans="1:52" ht="12.75" customHeight="1" collapsed="1">
      <c r="A52" s="386" t="s">
        <v>2072</v>
      </c>
      <c r="B52" s="401" t="s">
        <v>715</v>
      </c>
      <c r="C52" s="402"/>
      <c r="D52" s="404">
        <v>564141.29</v>
      </c>
      <c r="E52" s="404">
        <v>209976.33</v>
      </c>
      <c r="F52" s="404">
        <v>673157.89</v>
      </c>
      <c r="G52" s="404">
        <v>215392.53</v>
      </c>
      <c r="H52" s="404">
        <v>143066.35</v>
      </c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</row>
    <row r="53" spans="1:52" s="374" customFormat="1" ht="38.25" hidden="1" outlineLevel="1">
      <c r="A53" s="374" t="s">
        <v>2088</v>
      </c>
      <c r="B53" s="374" t="s">
        <v>2089</v>
      </c>
      <c r="C53" s="375" t="s">
        <v>2090</v>
      </c>
      <c r="D53" s="405">
        <v>68653.89</v>
      </c>
      <c r="E53" s="405">
        <v>27827.36</v>
      </c>
      <c r="F53" s="406">
        <v>42222.82</v>
      </c>
      <c r="G53" s="406">
        <v>8985.09</v>
      </c>
      <c r="H53" s="406">
        <v>18904.14</v>
      </c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</row>
    <row r="54" spans="1:52" s="374" customFormat="1" ht="38.25" hidden="1" outlineLevel="1">
      <c r="A54" s="374" t="s">
        <v>2091</v>
      </c>
      <c r="B54" s="374" t="s">
        <v>2092</v>
      </c>
      <c r="C54" s="375" t="s">
        <v>2093</v>
      </c>
      <c r="D54" s="405">
        <v>7944.53</v>
      </c>
      <c r="E54" s="405">
        <v>7336.18</v>
      </c>
      <c r="F54" s="406">
        <v>93021.33</v>
      </c>
      <c r="G54" s="406">
        <v>10930.32</v>
      </c>
      <c r="H54" s="406">
        <v>7221.49</v>
      </c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</row>
    <row r="55" spans="1:52" s="374" customFormat="1" ht="38.25" hidden="1" outlineLevel="1">
      <c r="A55" s="374" t="s">
        <v>2094</v>
      </c>
      <c r="B55" s="374" t="s">
        <v>2095</v>
      </c>
      <c r="C55" s="375" t="s">
        <v>2096</v>
      </c>
      <c r="D55" s="405">
        <v>0</v>
      </c>
      <c r="E55" s="405">
        <v>0</v>
      </c>
      <c r="F55" s="406">
        <v>0</v>
      </c>
      <c r="G55" s="406">
        <v>0</v>
      </c>
      <c r="H55" s="406">
        <v>10324.16</v>
      </c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</row>
    <row r="56" spans="1:52" s="374" customFormat="1" ht="38.25" hidden="1" outlineLevel="1">
      <c r="A56" s="374" t="s">
        <v>2097</v>
      </c>
      <c r="B56" s="374" t="s">
        <v>2098</v>
      </c>
      <c r="C56" s="375" t="s">
        <v>2099</v>
      </c>
      <c r="D56" s="405">
        <v>41107.5</v>
      </c>
      <c r="E56" s="405">
        <v>9298.27</v>
      </c>
      <c r="F56" s="406">
        <v>11261.53</v>
      </c>
      <c r="G56" s="406">
        <v>11614.81</v>
      </c>
      <c r="H56" s="406">
        <v>1784.84</v>
      </c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</row>
    <row r="57" spans="1:52" s="374" customFormat="1" ht="38.25" hidden="1" outlineLevel="1">
      <c r="A57" s="374" t="s">
        <v>2100</v>
      </c>
      <c r="B57" s="374" t="s">
        <v>2101</v>
      </c>
      <c r="C57" s="375" t="s">
        <v>2102</v>
      </c>
      <c r="D57" s="405">
        <v>0</v>
      </c>
      <c r="E57" s="405">
        <v>0</v>
      </c>
      <c r="F57" s="406">
        <v>0</v>
      </c>
      <c r="G57" s="406">
        <v>14.85</v>
      </c>
      <c r="H57" s="406">
        <v>20.77</v>
      </c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</row>
    <row r="58" spans="1:52" s="374" customFormat="1" ht="38.25" hidden="1" outlineLevel="1">
      <c r="A58" s="374" t="s">
        <v>2103</v>
      </c>
      <c r="B58" s="374" t="s">
        <v>2104</v>
      </c>
      <c r="C58" s="375" t="s">
        <v>2105</v>
      </c>
      <c r="D58" s="405">
        <v>12427.36</v>
      </c>
      <c r="E58" s="405">
        <v>0</v>
      </c>
      <c r="F58" s="406">
        <v>2540.26</v>
      </c>
      <c r="G58" s="406">
        <v>22527.74</v>
      </c>
      <c r="H58" s="406">
        <v>9.82</v>
      </c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</row>
    <row r="59" spans="1:52" s="374" customFormat="1" ht="38.25" hidden="1" outlineLevel="1">
      <c r="A59" s="374" t="s">
        <v>2106</v>
      </c>
      <c r="B59" s="374" t="s">
        <v>2107</v>
      </c>
      <c r="C59" s="375" t="s">
        <v>2108</v>
      </c>
      <c r="D59" s="405">
        <v>913.55</v>
      </c>
      <c r="E59" s="405">
        <v>427.23</v>
      </c>
      <c r="F59" s="406">
        <v>1625.18</v>
      </c>
      <c r="G59" s="406">
        <v>26.57</v>
      </c>
      <c r="H59" s="406">
        <v>0</v>
      </c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</row>
    <row r="60" spans="1:52" s="374" customFormat="1" ht="38.25" hidden="1" outlineLevel="1">
      <c r="A60" s="374" t="s">
        <v>2109</v>
      </c>
      <c r="B60" s="374" t="s">
        <v>2110</v>
      </c>
      <c r="C60" s="375" t="s">
        <v>2111</v>
      </c>
      <c r="D60" s="405">
        <v>-690.3</v>
      </c>
      <c r="E60" s="405">
        <v>-781.88</v>
      </c>
      <c r="F60" s="406">
        <v>0</v>
      </c>
      <c r="G60" s="406">
        <v>0</v>
      </c>
      <c r="H60" s="406">
        <v>0</v>
      </c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</row>
    <row r="61" spans="1:52" s="374" customFormat="1" ht="38.25" hidden="1" outlineLevel="1">
      <c r="A61" s="374" t="s">
        <v>2118</v>
      </c>
      <c r="B61" s="374" t="s">
        <v>2119</v>
      </c>
      <c r="C61" s="375" t="s">
        <v>2120</v>
      </c>
      <c r="D61" s="405">
        <v>-1262.37</v>
      </c>
      <c r="E61" s="405">
        <v>-1670.63</v>
      </c>
      <c r="F61" s="406">
        <v>-3122.05</v>
      </c>
      <c r="G61" s="406">
        <v>-1540.64</v>
      </c>
      <c r="H61" s="406">
        <v>-424.75</v>
      </c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</row>
    <row r="62" spans="1:52" ht="12.75" customHeight="1" collapsed="1">
      <c r="A62" s="386" t="s">
        <v>2124</v>
      </c>
      <c r="B62" s="401" t="s">
        <v>716</v>
      </c>
      <c r="C62" s="402"/>
      <c r="D62" s="404">
        <v>129094.16</v>
      </c>
      <c r="E62" s="404">
        <v>42436.53</v>
      </c>
      <c r="F62" s="404">
        <v>147549.07</v>
      </c>
      <c r="G62" s="404">
        <v>52558.74</v>
      </c>
      <c r="H62" s="404">
        <v>37840.47</v>
      </c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</row>
    <row r="63" spans="1:52" s="374" customFormat="1" ht="38.25" hidden="1" outlineLevel="1">
      <c r="A63" s="374" t="s">
        <v>2134</v>
      </c>
      <c r="B63" s="374" t="s">
        <v>2135</v>
      </c>
      <c r="C63" s="375" t="s">
        <v>2136</v>
      </c>
      <c r="D63" s="405">
        <v>5212891.8</v>
      </c>
      <c r="E63" s="405">
        <v>0</v>
      </c>
      <c r="F63" s="406">
        <v>0</v>
      </c>
      <c r="G63" s="406">
        <v>234373.81</v>
      </c>
      <c r="H63" s="406">
        <v>0</v>
      </c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</row>
    <row r="64" spans="1:52" s="374" customFormat="1" ht="38.25" hidden="1" outlineLevel="1">
      <c r="A64" s="374" t="s">
        <v>2140</v>
      </c>
      <c r="B64" s="374" t="s">
        <v>2141</v>
      </c>
      <c r="C64" s="375" t="s">
        <v>2142</v>
      </c>
      <c r="D64" s="405">
        <v>0</v>
      </c>
      <c r="E64" s="405">
        <v>439893.78</v>
      </c>
      <c r="F64" s="406">
        <v>0</v>
      </c>
      <c r="G64" s="406">
        <v>0</v>
      </c>
      <c r="H64" s="406">
        <v>0</v>
      </c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</row>
    <row r="65" spans="1:52" ht="12.75" customHeight="1" collapsed="1">
      <c r="A65" s="386" t="s">
        <v>717</v>
      </c>
      <c r="B65" s="401" t="s">
        <v>718</v>
      </c>
      <c r="C65" s="402"/>
      <c r="D65" s="404">
        <v>5212891.8</v>
      </c>
      <c r="E65" s="404">
        <v>439893.78</v>
      </c>
      <c r="F65" s="404">
        <v>0</v>
      </c>
      <c r="G65" s="404">
        <v>234373.81</v>
      </c>
      <c r="H65" s="404">
        <v>0</v>
      </c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</row>
    <row r="66" spans="1:52" s="374" customFormat="1" ht="38.25" hidden="1" outlineLevel="1">
      <c r="A66" s="374" t="s">
        <v>2632</v>
      </c>
      <c r="B66" s="374" t="s">
        <v>2633</v>
      </c>
      <c r="C66" s="375" t="s">
        <v>2634</v>
      </c>
      <c r="D66" s="405">
        <v>0</v>
      </c>
      <c r="E66" s="405">
        <v>84744.3</v>
      </c>
      <c r="F66" s="406">
        <v>0</v>
      </c>
      <c r="G66" s="406">
        <v>0</v>
      </c>
      <c r="H66" s="406">
        <v>0</v>
      </c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7"/>
      <c r="AW66" s="377"/>
      <c r="AX66" s="377"/>
      <c r="AY66" s="377"/>
      <c r="AZ66" s="377"/>
    </row>
    <row r="67" spans="1:52" s="374" customFormat="1" ht="38.25" hidden="1" outlineLevel="1">
      <c r="A67" s="374" t="s">
        <v>2635</v>
      </c>
      <c r="B67" s="374" t="s">
        <v>2636</v>
      </c>
      <c r="C67" s="375" t="s">
        <v>2637</v>
      </c>
      <c r="D67" s="405">
        <v>0</v>
      </c>
      <c r="E67" s="405">
        <v>9897.34</v>
      </c>
      <c r="F67" s="406">
        <v>0</v>
      </c>
      <c r="G67" s="406">
        <v>0</v>
      </c>
      <c r="H67" s="406">
        <v>0</v>
      </c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7"/>
      <c r="AW67" s="377"/>
      <c r="AX67" s="377"/>
      <c r="AY67" s="377"/>
      <c r="AZ67" s="377"/>
    </row>
    <row r="68" spans="1:52" s="374" customFormat="1" ht="38.25" hidden="1" outlineLevel="1">
      <c r="A68" s="374" t="s">
        <v>2638</v>
      </c>
      <c r="B68" s="374" t="s">
        <v>2639</v>
      </c>
      <c r="C68" s="375" t="s">
        <v>2640</v>
      </c>
      <c r="D68" s="405">
        <v>0</v>
      </c>
      <c r="E68" s="405">
        <v>5885.1</v>
      </c>
      <c r="F68" s="406">
        <v>0</v>
      </c>
      <c r="G68" s="406">
        <v>0</v>
      </c>
      <c r="H68" s="406">
        <v>0</v>
      </c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</row>
    <row r="69" spans="1:52" s="374" customFormat="1" ht="38.25" hidden="1" outlineLevel="1">
      <c r="A69" s="374" t="s">
        <v>2641</v>
      </c>
      <c r="B69" s="374" t="s">
        <v>2642</v>
      </c>
      <c r="C69" s="375" t="s">
        <v>2643</v>
      </c>
      <c r="D69" s="405">
        <v>0</v>
      </c>
      <c r="E69" s="405">
        <v>76425.53</v>
      </c>
      <c r="F69" s="406">
        <v>0</v>
      </c>
      <c r="G69" s="406">
        <v>0</v>
      </c>
      <c r="H69" s="406">
        <v>0</v>
      </c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377"/>
      <c r="AX69" s="377"/>
      <c r="AY69" s="377"/>
      <c r="AZ69" s="377"/>
    </row>
    <row r="70" spans="1:52" s="374" customFormat="1" ht="38.25" hidden="1" outlineLevel="1">
      <c r="A70" s="374" t="s">
        <v>2644</v>
      </c>
      <c r="B70" s="374" t="s">
        <v>2645</v>
      </c>
      <c r="C70" s="375" t="s">
        <v>2646</v>
      </c>
      <c r="D70" s="405">
        <v>0</v>
      </c>
      <c r="E70" s="405">
        <v>29728.31</v>
      </c>
      <c r="F70" s="406">
        <v>0</v>
      </c>
      <c r="G70" s="406">
        <v>0</v>
      </c>
      <c r="H70" s="406">
        <v>0</v>
      </c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77"/>
      <c r="AT70" s="377"/>
      <c r="AU70" s="377"/>
      <c r="AV70" s="377"/>
      <c r="AW70" s="377"/>
      <c r="AX70" s="377"/>
      <c r="AY70" s="377"/>
      <c r="AZ70" s="377"/>
    </row>
    <row r="71" spans="1:52" ht="12.75" customHeight="1" collapsed="1">
      <c r="A71" s="386" t="s">
        <v>719</v>
      </c>
      <c r="B71" s="401" t="s">
        <v>720</v>
      </c>
      <c r="C71" s="402"/>
      <c r="D71" s="404">
        <v>0</v>
      </c>
      <c r="E71" s="404">
        <v>206680.58</v>
      </c>
      <c r="F71" s="404">
        <v>0</v>
      </c>
      <c r="G71" s="404">
        <v>0</v>
      </c>
      <c r="H71" s="404">
        <v>0</v>
      </c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</row>
    <row r="72" spans="1:52" s="374" customFormat="1" ht="38.25" hidden="1" outlineLevel="1">
      <c r="A72" s="374" t="s">
        <v>2296</v>
      </c>
      <c r="B72" s="374" t="s">
        <v>2297</v>
      </c>
      <c r="C72" s="375" t="s">
        <v>2298</v>
      </c>
      <c r="D72" s="405">
        <v>62480</v>
      </c>
      <c r="E72" s="405">
        <v>32277.47</v>
      </c>
      <c r="F72" s="406">
        <v>22438.32</v>
      </c>
      <c r="G72" s="406">
        <v>5375.42</v>
      </c>
      <c r="H72" s="406">
        <v>3245.46</v>
      </c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7"/>
      <c r="AW72" s="377"/>
      <c r="AX72" s="377"/>
      <c r="AY72" s="377"/>
      <c r="AZ72" s="377"/>
    </row>
    <row r="73" spans="1:52" s="374" customFormat="1" ht="38.25" hidden="1" outlineLevel="1">
      <c r="A73" s="374" t="s">
        <v>2299</v>
      </c>
      <c r="B73" s="374" t="s">
        <v>2300</v>
      </c>
      <c r="C73" s="375" t="s">
        <v>2301</v>
      </c>
      <c r="D73" s="405">
        <v>8560.97</v>
      </c>
      <c r="E73" s="405">
        <v>7244.77</v>
      </c>
      <c r="F73" s="406">
        <v>3883.46</v>
      </c>
      <c r="G73" s="406">
        <v>1419.78</v>
      </c>
      <c r="H73" s="406">
        <v>9406.24</v>
      </c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</row>
    <row r="74" spans="1:52" s="374" customFormat="1" ht="38.25" hidden="1" outlineLevel="1">
      <c r="A74" s="374" t="s">
        <v>2311</v>
      </c>
      <c r="B74" s="374" t="s">
        <v>2312</v>
      </c>
      <c r="C74" s="375" t="s">
        <v>2313</v>
      </c>
      <c r="D74" s="405">
        <v>0</v>
      </c>
      <c r="E74" s="405">
        <v>0</v>
      </c>
      <c r="F74" s="406">
        <v>234.5</v>
      </c>
      <c r="G74" s="406">
        <v>0</v>
      </c>
      <c r="H74" s="406">
        <v>0</v>
      </c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</row>
    <row r="75" spans="1:52" s="374" customFormat="1" ht="38.25" hidden="1" outlineLevel="1">
      <c r="A75" s="374" t="s">
        <v>2317</v>
      </c>
      <c r="B75" s="374" t="s">
        <v>2318</v>
      </c>
      <c r="C75" s="375" t="s">
        <v>2319</v>
      </c>
      <c r="D75" s="405">
        <v>0</v>
      </c>
      <c r="E75" s="405">
        <v>0</v>
      </c>
      <c r="F75" s="406">
        <v>33881.4</v>
      </c>
      <c r="G75" s="406">
        <v>0</v>
      </c>
      <c r="H75" s="406">
        <v>0</v>
      </c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  <c r="AP75" s="377"/>
      <c r="AQ75" s="377"/>
      <c r="AR75" s="377"/>
      <c r="AS75" s="377"/>
      <c r="AT75" s="377"/>
      <c r="AU75" s="377"/>
      <c r="AV75" s="377"/>
      <c r="AW75" s="377"/>
      <c r="AX75" s="377"/>
      <c r="AY75" s="377"/>
      <c r="AZ75" s="377"/>
    </row>
    <row r="76" spans="1:52" s="374" customFormat="1" ht="38.25" hidden="1" outlineLevel="1">
      <c r="A76" s="374" t="s">
        <v>2329</v>
      </c>
      <c r="B76" s="374" t="s">
        <v>2330</v>
      </c>
      <c r="C76" s="375" t="s">
        <v>2331</v>
      </c>
      <c r="D76" s="405">
        <v>0</v>
      </c>
      <c r="E76" s="405">
        <v>0</v>
      </c>
      <c r="F76" s="406">
        <v>333.08</v>
      </c>
      <c r="G76" s="406">
        <v>0</v>
      </c>
      <c r="H76" s="406">
        <v>0</v>
      </c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</row>
    <row r="77" spans="1:52" s="374" customFormat="1" ht="38.25" hidden="1" outlineLevel="1">
      <c r="A77" s="374" t="s">
        <v>2332</v>
      </c>
      <c r="B77" s="374" t="s">
        <v>2333</v>
      </c>
      <c r="C77" s="375" t="s">
        <v>2334</v>
      </c>
      <c r="D77" s="405">
        <v>0</v>
      </c>
      <c r="E77" s="405">
        <v>0</v>
      </c>
      <c r="F77" s="406">
        <v>0</v>
      </c>
      <c r="G77" s="406">
        <v>1812.22</v>
      </c>
      <c r="H77" s="406">
        <v>0</v>
      </c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</row>
    <row r="78" spans="1:52" s="374" customFormat="1" ht="38.25" hidden="1" outlineLevel="1">
      <c r="A78" s="374" t="s">
        <v>2335</v>
      </c>
      <c r="B78" s="374" t="s">
        <v>2336</v>
      </c>
      <c r="C78" s="375" t="s">
        <v>2337</v>
      </c>
      <c r="D78" s="405">
        <v>712.96</v>
      </c>
      <c r="E78" s="405">
        <v>0</v>
      </c>
      <c r="F78" s="406">
        <v>82.33</v>
      </c>
      <c r="G78" s="406">
        <v>3292.77</v>
      </c>
      <c r="H78" s="406">
        <v>0</v>
      </c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</row>
    <row r="79" spans="1:52" s="374" customFormat="1" ht="38.25" hidden="1" outlineLevel="1">
      <c r="A79" s="374" t="s">
        <v>2341</v>
      </c>
      <c r="B79" s="374" t="s">
        <v>2342</v>
      </c>
      <c r="C79" s="375" t="s">
        <v>2343</v>
      </c>
      <c r="D79" s="405">
        <v>0</v>
      </c>
      <c r="E79" s="405">
        <v>0</v>
      </c>
      <c r="F79" s="406">
        <v>0</v>
      </c>
      <c r="G79" s="406">
        <v>0</v>
      </c>
      <c r="H79" s="406">
        <v>654.5</v>
      </c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</row>
    <row r="80" spans="1:52" s="374" customFormat="1" ht="38.25" hidden="1" outlineLevel="1">
      <c r="A80" s="374" t="s">
        <v>2347</v>
      </c>
      <c r="B80" s="374" t="s">
        <v>2348</v>
      </c>
      <c r="C80" s="375" t="s">
        <v>2349</v>
      </c>
      <c r="D80" s="405">
        <v>0</v>
      </c>
      <c r="E80" s="405">
        <v>0</v>
      </c>
      <c r="F80" s="406">
        <v>2556.79</v>
      </c>
      <c r="G80" s="406">
        <v>0</v>
      </c>
      <c r="H80" s="406">
        <v>0</v>
      </c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77"/>
      <c r="AR80" s="377"/>
      <c r="AS80" s="377"/>
      <c r="AT80" s="377"/>
      <c r="AU80" s="377"/>
      <c r="AV80" s="377"/>
      <c r="AW80" s="377"/>
      <c r="AX80" s="377"/>
      <c r="AY80" s="377"/>
      <c r="AZ80" s="377"/>
    </row>
    <row r="81" spans="1:52" s="374" customFormat="1" ht="38.25" hidden="1" outlineLevel="1">
      <c r="A81" s="374" t="s">
        <v>2353</v>
      </c>
      <c r="B81" s="374" t="s">
        <v>2354</v>
      </c>
      <c r="C81" s="375" t="s">
        <v>2355</v>
      </c>
      <c r="D81" s="405">
        <v>6.39</v>
      </c>
      <c r="E81" s="405">
        <v>0</v>
      </c>
      <c r="F81" s="406">
        <v>0</v>
      </c>
      <c r="G81" s="406">
        <v>4.79</v>
      </c>
      <c r="H81" s="406">
        <v>0</v>
      </c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7"/>
      <c r="AS81" s="377"/>
      <c r="AT81" s="377"/>
      <c r="AU81" s="377"/>
      <c r="AV81" s="377"/>
      <c r="AW81" s="377"/>
      <c r="AX81" s="377"/>
      <c r="AY81" s="377"/>
      <c r="AZ81" s="377"/>
    </row>
    <row r="82" spans="1:52" s="374" customFormat="1" ht="38.25" hidden="1" outlineLevel="1">
      <c r="A82" s="374" t="s">
        <v>2368</v>
      </c>
      <c r="B82" s="374" t="s">
        <v>2369</v>
      </c>
      <c r="C82" s="375" t="s">
        <v>2370</v>
      </c>
      <c r="D82" s="405">
        <v>0</v>
      </c>
      <c r="E82" s="405">
        <v>0</v>
      </c>
      <c r="F82" s="406">
        <v>0</v>
      </c>
      <c r="G82" s="406">
        <v>0</v>
      </c>
      <c r="H82" s="406">
        <v>1637.4</v>
      </c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</row>
    <row r="83" spans="1:52" s="374" customFormat="1" ht="38.25" hidden="1" outlineLevel="1">
      <c r="A83" s="374" t="s">
        <v>2371</v>
      </c>
      <c r="B83" s="374" t="s">
        <v>2372</v>
      </c>
      <c r="C83" s="375" t="s">
        <v>2373</v>
      </c>
      <c r="D83" s="405">
        <v>0</v>
      </c>
      <c r="E83" s="405">
        <v>0</v>
      </c>
      <c r="F83" s="406">
        <v>0</v>
      </c>
      <c r="G83" s="406">
        <v>0</v>
      </c>
      <c r="H83" s="406">
        <v>2057.35</v>
      </c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  <c r="AV83" s="377"/>
      <c r="AW83" s="377"/>
      <c r="AX83" s="377"/>
      <c r="AY83" s="377"/>
      <c r="AZ83" s="377"/>
    </row>
    <row r="84" spans="1:52" s="374" customFormat="1" ht="38.25" hidden="1" outlineLevel="1">
      <c r="A84" s="374" t="s">
        <v>2383</v>
      </c>
      <c r="B84" s="374" t="s">
        <v>2384</v>
      </c>
      <c r="C84" s="375" t="s">
        <v>2385</v>
      </c>
      <c r="D84" s="405">
        <v>0</v>
      </c>
      <c r="E84" s="405">
        <v>0</v>
      </c>
      <c r="F84" s="406">
        <v>0</v>
      </c>
      <c r="G84" s="406">
        <v>0</v>
      </c>
      <c r="H84" s="406">
        <v>280.65</v>
      </c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377"/>
      <c r="AR84" s="377"/>
      <c r="AS84" s="377"/>
      <c r="AT84" s="377"/>
      <c r="AU84" s="377"/>
      <c r="AV84" s="377"/>
      <c r="AW84" s="377"/>
      <c r="AX84" s="377"/>
      <c r="AY84" s="377"/>
      <c r="AZ84" s="377"/>
    </row>
    <row r="85" spans="1:52" s="374" customFormat="1" ht="38.25" hidden="1" outlineLevel="1">
      <c r="A85" s="374" t="s">
        <v>2401</v>
      </c>
      <c r="B85" s="374" t="s">
        <v>2402</v>
      </c>
      <c r="C85" s="375" t="s">
        <v>2403</v>
      </c>
      <c r="D85" s="405">
        <v>0</v>
      </c>
      <c r="E85" s="405">
        <v>0</v>
      </c>
      <c r="F85" s="406">
        <v>450</v>
      </c>
      <c r="G85" s="406">
        <v>0</v>
      </c>
      <c r="H85" s="406">
        <v>0</v>
      </c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  <c r="AL85" s="377"/>
      <c r="AM85" s="377"/>
      <c r="AN85" s="377"/>
      <c r="AO85" s="377"/>
      <c r="AP85" s="377"/>
      <c r="AQ85" s="377"/>
      <c r="AR85" s="377"/>
      <c r="AS85" s="377"/>
      <c r="AT85" s="377"/>
      <c r="AU85" s="377"/>
      <c r="AV85" s="377"/>
      <c r="AW85" s="377"/>
      <c r="AX85" s="377"/>
      <c r="AY85" s="377"/>
      <c r="AZ85" s="377"/>
    </row>
    <row r="86" spans="1:52" s="374" customFormat="1" ht="38.25" hidden="1" outlineLevel="1">
      <c r="A86" s="374" t="s">
        <v>2443</v>
      </c>
      <c r="B86" s="374" t="s">
        <v>2444</v>
      </c>
      <c r="C86" s="375" t="s">
        <v>2445</v>
      </c>
      <c r="D86" s="405">
        <v>0</v>
      </c>
      <c r="E86" s="405">
        <v>0</v>
      </c>
      <c r="F86" s="406">
        <v>5309.1</v>
      </c>
      <c r="G86" s="406">
        <v>318</v>
      </c>
      <c r="H86" s="406">
        <v>0</v>
      </c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7"/>
      <c r="AS86" s="377"/>
      <c r="AT86" s="377"/>
      <c r="AU86" s="377"/>
      <c r="AV86" s="377"/>
      <c r="AW86" s="377"/>
      <c r="AX86" s="377"/>
      <c r="AY86" s="377"/>
      <c r="AZ86" s="377"/>
    </row>
    <row r="87" spans="1:52" s="374" customFormat="1" ht="38.25" hidden="1" outlineLevel="1">
      <c r="A87" s="374" t="s">
        <v>2446</v>
      </c>
      <c r="B87" s="374" t="s">
        <v>2447</v>
      </c>
      <c r="C87" s="375" t="s">
        <v>2448</v>
      </c>
      <c r="D87" s="405">
        <v>0</v>
      </c>
      <c r="E87" s="405">
        <v>25351.7</v>
      </c>
      <c r="F87" s="406">
        <v>0</v>
      </c>
      <c r="G87" s="406">
        <v>0</v>
      </c>
      <c r="H87" s="406">
        <v>3234.4</v>
      </c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7"/>
      <c r="AU87" s="377"/>
      <c r="AV87" s="377"/>
      <c r="AW87" s="377"/>
      <c r="AX87" s="377"/>
      <c r="AY87" s="377"/>
      <c r="AZ87" s="377"/>
    </row>
    <row r="88" spans="1:52" s="374" customFormat="1" ht="38.25" hidden="1" outlineLevel="1">
      <c r="A88" s="374" t="s">
        <v>2452</v>
      </c>
      <c r="B88" s="374" t="s">
        <v>2453</v>
      </c>
      <c r="C88" s="375" t="s">
        <v>2454</v>
      </c>
      <c r="D88" s="405">
        <v>0</v>
      </c>
      <c r="E88" s="405">
        <v>0</v>
      </c>
      <c r="F88" s="406">
        <v>0</v>
      </c>
      <c r="G88" s="406">
        <v>429</v>
      </c>
      <c r="H88" s="406">
        <v>0</v>
      </c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7"/>
      <c r="AU88" s="377"/>
      <c r="AV88" s="377"/>
      <c r="AW88" s="377"/>
      <c r="AX88" s="377"/>
      <c r="AY88" s="377"/>
      <c r="AZ88" s="377"/>
    </row>
    <row r="89" spans="1:52" s="374" customFormat="1" ht="38.25" hidden="1" outlineLevel="1">
      <c r="A89" s="374" t="s">
        <v>2455</v>
      </c>
      <c r="B89" s="374" t="s">
        <v>2456</v>
      </c>
      <c r="C89" s="375" t="s">
        <v>2457</v>
      </c>
      <c r="D89" s="405">
        <v>0</v>
      </c>
      <c r="E89" s="405">
        <v>0</v>
      </c>
      <c r="F89" s="406">
        <v>0</v>
      </c>
      <c r="G89" s="406">
        <v>0</v>
      </c>
      <c r="H89" s="406">
        <v>6322.79</v>
      </c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  <c r="AL89" s="377"/>
      <c r="AM89" s="377"/>
      <c r="AN89" s="377"/>
      <c r="AO89" s="377"/>
      <c r="AP89" s="377"/>
      <c r="AQ89" s="377"/>
      <c r="AR89" s="377"/>
      <c r="AS89" s="377"/>
      <c r="AT89" s="377"/>
      <c r="AU89" s="377"/>
      <c r="AV89" s="377"/>
      <c r="AW89" s="377"/>
      <c r="AX89" s="377"/>
      <c r="AY89" s="377"/>
      <c r="AZ89" s="377"/>
    </row>
    <row r="90" spans="1:52" s="374" customFormat="1" ht="38.25" hidden="1" outlineLevel="1">
      <c r="A90" s="374" t="s">
        <v>2464</v>
      </c>
      <c r="B90" s="374" t="s">
        <v>2465</v>
      </c>
      <c r="C90" s="375" t="s">
        <v>2466</v>
      </c>
      <c r="D90" s="405">
        <v>0</v>
      </c>
      <c r="E90" s="405">
        <v>11143.26</v>
      </c>
      <c r="F90" s="406">
        <v>0</v>
      </c>
      <c r="G90" s="406">
        <v>0</v>
      </c>
      <c r="H90" s="406">
        <v>5515.8</v>
      </c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  <c r="AL90" s="377"/>
      <c r="AM90" s="377"/>
      <c r="AN90" s="377"/>
      <c r="AO90" s="377"/>
      <c r="AP90" s="377"/>
      <c r="AQ90" s="377"/>
      <c r="AR90" s="377"/>
      <c r="AS90" s="377"/>
      <c r="AT90" s="377"/>
      <c r="AU90" s="377"/>
      <c r="AV90" s="377"/>
      <c r="AW90" s="377"/>
      <c r="AX90" s="377"/>
      <c r="AY90" s="377"/>
      <c r="AZ90" s="377"/>
    </row>
    <row r="91" spans="1:52" s="374" customFormat="1" ht="38.25" hidden="1" outlineLevel="1">
      <c r="A91" s="374" t="s">
        <v>2587</v>
      </c>
      <c r="B91" s="374" t="s">
        <v>2588</v>
      </c>
      <c r="C91" s="375" t="s">
        <v>2589</v>
      </c>
      <c r="D91" s="405">
        <v>0</v>
      </c>
      <c r="E91" s="405">
        <v>0</v>
      </c>
      <c r="F91" s="406">
        <v>7492.53</v>
      </c>
      <c r="G91" s="406">
        <v>3130.21</v>
      </c>
      <c r="H91" s="406">
        <v>0</v>
      </c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</row>
    <row r="92" spans="1:52" s="374" customFormat="1" ht="38.25" hidden="1" outlineLevel="1">
      <c r="A92" s="374" t="s">
        <v>2590</v>
      </c>
      <c r="B92" s="374" t="s">
        <v>2591</v>
      </c>
      <c r="C92" s="375" t="s">
        <v>2592</v>
      </c>
      <c r="D92" s="405">
        <v>1513.59</v>
      </c>
      <c r="E92" s="405">
        <v>20.16</v>
      </c>
      <c r="F92" s="406">
        <v>0</v>
      </c>
      <c r="G92" s="406">
        <v>7788.18</v>
      </c>
      <c r="H92" s="406">
        <v>0</v>
      </c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377"/>
      <c r="AZ92" s="377"/>
    </row>
    <row r="93" spans="1:52" s="374" customFormat="1" ht="38.25" hidden="1" outlineLevel="1">
      <c r="A93" s="374" t="s">
        <v>2596</v>
      </c>
      <c r="B93" s="374" t="s">
        <v>2597</v>
      </c>
      <c r="C93" s="375" t="s">
        <v>2598</v>
      </c>
      <c r="D93" s="405">
        <v>0</v>
      </c>
      <c r="E93" s="405">
        <v>0</v>
      </c>
      <c r="F93" s="406">
        <v>1328.17</v>
      </c>
      <c r="G93" s="406">
        <v>0</v>
      </c>
      <c r="H93" s="406">
        <v>637.92</v>
      </c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77"/>
      <c r="AZ93" s="377"/>
    </row>
    <row r="94" spans="1:52" s="374" customFormat="1" ht="38.25" hidden="1" outlineLevel="1">
      <c r="A94" s="374" t="s">
        <v>2602</v>
      </c>
      <c r="B94" s="374" t="s">
        <v>2603</v>
      </c>
      <c r="C94" s="375" t="s">
        <v>2604</v>
      </c>
      <c r="D94" s="405">
        <v>0</v>
      </c>
      <c r="E94" s="405">
        <v>0</v>
      </c>
      <c r="F94" s="406">
        <v>1500</v>
      </c>
      <c r="G94" s="406">
        <v>0</v>
      </c>
      <c r="H94" s="406">
        <v>0</v>
      </c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</row>
    <row r="95" spans="1:52" s="374" customFormat="1" ht="38.25" hidden="1" outlineLevel="1">
      <c r="A95" s="374" t="s">
        <v>2605</v>
      </c>
      <c r="B95" s="374" t="s">
        <v>2606</v>
      </c>
      <c r="C95" s="375" t="s">
        <v>2607</v>
      </c>
      <c r="D95" s="405">
        <v>0</v>
      </c>
      <c r="E95" s="405">
        <v>790.12</v>
      </c>
      <c r="F95" s="406">
        <v>1503</v>
      </c>
      <c r="G95" s="406">
        <v>0</v>
      </c>
      <c r="H95" s="406">
        <v>0</v>
      </c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</row>
    <row r="96" spans="1:52" s="374" customFormat="1" ht="38.25" hidden="1" outlineLevel="1">
      <c r="A96" s="374" t="s">
        <v>2614</v>
      </c>
      <c r="B96" s="374" t="s">
        <v>2615</v>
      </c>
      <c r="C96" s="375" t="s">
        <v>2616</v>
      </c>
      <c r="D96" s="405">
        <v>0</v>
      </c>
      <c r="E96" s="405">
        <v>568.1</v>
      </c>
      <c r="F96" s="406">
        <v>8844.74</v>
      </c>
      <c r="G96" s="406">
        <v>25132.96</v>
      </c>
      <c r="H96" s="406">
        <v>12512.09</v>
      </c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  <c r="AV96" s="377"/>
      <c r="AW96" s="377"/>
      <c r="AX96" s="377"/>
      <c r="AY96" s="377"/>
      <c r="AZ96" s="377"/>
    </row>
    <row r="97" spans="1:52" s="374" customFormat="1" ht="38.25" hidden="1" outlineLevel="1">
      <c r="A97" s="374" t="s">
        <v>2617</v>
      </c>
      <c r="B97" s="374" t="s">
        <v>2618</v>
      </c>
      <c r="C97" s="375" t="s">
        <v>2619</v>
      </c>
      <c r="D97" s="405">
        <v>0</v>
      </c>
      <c r="E97" s="405">
        <v>0</v>
      </c>
      <c r="F97" s="406">
        <v>0</v>
      </c>
      <c r="G97" s="406">
        <v>145562</v>
      </c>
      <c r="H97" s="406">
        <v>12240</v>
      </c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377"/>
    </row>
    <row r="98" spans="1:52" s="374" customFormat="1" ht="38.25" hidden="1" outlineLevel="1">
      <c r="A98" s="374" t="s">
        <v>2620</v>
      </c>
      <c r="B98" s="374" t="s">
        <v>2621</v>
      </c>
      <c r="C98" s="375" t="s">
        <v>2622</v>
      </c>
      <c r="D98" s="405">
        <v>0</v>
      </c>
      <c r="E98" s="405">
        <v>164975</v>
      </c>
      <c r="F98" s="406">
        <v>0</v>
      </c>
      <c r="G98" s="406">
        <v>0</v>
      </c>
      <c r="H98" s="406">
        <v>343809</v>
      </c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377"/>
      <c r="AY98" s="377"/>
      <c r="AZ98" s="377"/>
    </row>
    <row r="99" spans="1:52" s="374" customFormat="1" ht="38.25" hidden="1" outlineLevel="1">
      <c r="A99" s="374" t="s">
        <v>2623</v>
      </c>
      <c r="B99" s="374" t="s">
        <v>2624</v>
      </c>
      <c r="C99" s="375" t="s">
        <v>2625</v>
      </c>
      <c r="D99" s="405">
        <v>0</v>
      </c>
      <c r="E99" s="405">
        <v>546125.33</v>
      </c>
      <c r="F99" s="406">
        <v>0</v>
      </c>
      <c r="G99" s="406">
        <v>0</v>
      </c>
      <c r="H99" s="406">
        <v>157570</v>
      </c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377"/>
    </row>
    <row r="100" spans="1:52" s="374" customFormat="1" ht="38.25" hidden="1" outlineLevel="1">
      <c r="A100" s="374" t="s">
        <v>2626</v>
      </c>
      <c r="B100" s="374" t="s">
        <v>2627</v>
      </c>
      <c r="C100" s="375" t="s">
        <v>2628</v>
      </c>
      <c r="D100" s="405">
        <v>0</v>
      </c>
      <c r="E100" s="405">
        <v>146</v>
      </c>
      <c r="F100" s="406">
        <v>0</v>
      </c>
      <c r="G100" s="406">
        <v>0</v>
      </c>
      <c r="H100" s="406">
        <v>0</v>
      </c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7"/>
      <c r="AY100" s="377"/>
      <c r="AZ100" s="377"/>
    </row>
    <row r="101" spans="1:52" ht="12.75" customHeight="1" collapsed="1">
      <c r="A101" s="386" t="s">
        <v>721</v>
      </c>
      <c r="B101" s="401" t="s">
        <v>722</v>
      </c>
      <c r="C101" s="402"/>
      <c r="D101" s="404">
        <v>73273.91</v>
      </c>
      <c r="E101" s="404">
        <v>788641.91</v>
      </c>
      <c r="F101" s="404">
        <v>89837.42</v>
      </c>
      <c r="G101" s="404">
        <v>194265.33</v>
      </c>
      <c r="H101" s="404">
        <v>559123.6</v>
      </c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</row>
    <row r="102" spans="1:52" s="374" customFormat="1" ht="38.25" hidden="1" outlineLevel="1">
      <c r="A102" s="374" t="s">
        <v>2521</v>
      </c>
      <c r="B102" s="374" t="s">
        <v>2522</v>
      </c>
      <c r="C102" s="375" t="s">
        <v>2523</v>
      </c>
      <c r="D102" s="405">
        <v>0</v>
      </c>
      <c r="E102" s="405">
        <v>0</v>
      </c>
      <c r="F102" s="406">
        <v>59844.11</v>
      </c>
      <c r="G102" s="406">
        <v>-67.53</v>
      </c>
      <c r="H102" s="406">
        <v>1021.56</v>
      </c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77"/>
      <c r="AP102" s="377"/>
      <c r="AQ102" s="377"/>
      <c r="AR102" s="377"/>
      <c r="AS102" s="377"/>
      <c r="AT102" s="377"/>
      <c r="AU102" s="377"/>
      <c r="AV102" s="377"/>
      <c r="AW102" s="377"/>
      <c r="AX102" s="377"/>
      <c r="AY102" s="377"/>
      <c r="AZ102" s="377"/>
    </row>
    <row r="103" spans="1:52" s="374" customFormat="1" ht="38.25" hidden="1" outlineLevel="1">
      <c r="A103" s="374" t="s">
        <v>2524</v>
      </c>
      <c r="B103" s="374" t="s">
        <v>2525</v>
      </c>
      <c r="C103" s="375" t="s">
        <v>2526</v>
      </c>
      <c r="D103" s="405">
        <v>0</v>
      </c>
      <c r="E103" s="405">
        <v>0</v>
      </c>
      <c r="F103" s="406">
        <v>400</v>
      </c>
      <c r="G103" s="406">
        <v>0</v>
      </c>
      <c r="H103" s="406">
        <v>0</v>
      </c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7"/>
      <c r="AR103" s="377"/>
      <c r="AS103" s="377"/>
      <c r="AT103" s="377"/>
      <c r="AU103" s="377"/>
      <c r="AV103" s="377"/>
      <c r="AW103" s="377"/>
      <c r="AX103" s="377"/>
      <c r="AY103" s="377"/>
      <c r="AZ103" s="377"/>
    </row>
    <row r="104" spans="1:52" s="374" customFormat="1" ht="38.25" hidden="1" outlineLevel="1">
      <c r="A104" s="374" t="s">
        <v>2539</v>
      </c>
      <c r="B104" s="374" t="s">
        <v>2540</v>
      </c>
      <c r="C104" s="375" t="s">
        <v>2541</v>
      </c>
      <c r="D104" s="405">
        <v>144.5</v>
      </c>
      <c r="E104" s="405">
        <v>12927.5</v>
      </c>
      <c r="F104" s="406">
        <v>5</v>
      </c>
      <c r="G104" s="406">
        <v>0</v>
      </c>
      <c r="H104" s="406">
        <v>0</v>
      </c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7"/>
      <c r="AS104" s="377"/>
      <c r="AT104" s="377"/>
      <c r="AU104" s="377"/>
      <c r="AV104" s="377"/>
      <c r="AW104" s="377"/>
      <c r="AX104" s="377"/>
      <c r="AY104" s="377"/>
      <c r="AZ104" s="377"/>
    </row>
    <row r="105" spans="1:52" s="374" customFormat="1" ht="38.25" hidden="1" outlineLevel="1">
      <c r="A105" s="374" t="s">
        <v>2548</v>
      </c>
      <c r="B105" s="374" t="s">
        <v>2549</v>
      </c>
      <c r="C105" s="375" t="s">
        <v>2550</v>
      </c>
      <c r="D105" s="405">
        <v>0</v>
      </c>
      <c r="E105" s="405">
        <v>1099.24</v>
      </c>
      <c r="F105" s="406">
        <v>0</v>
      </c>
      <c r="G105" s="406">
        <v>0</v>
      </c>
      <c r="H105" s="406">
        <v>21120</v>
      </c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77"/>
      <c r="AX105" s="377"/>
      <c r="AY105" s="377"/>
      <c r="AZ105" s="377"/>
    </row>
    <row r="106" spans="1:52" s="374" customFormat="1" ht="38.25" hidden="1" outlineLevel="1">
      <c r="A106" s="374" t="s">
        <v>2554</v>
      </c>
      <c r="B106" s="374" t="s">
        <v>2555</v>
      </c>
      <c r="C106" s="375" t="s">
        <v>2556</v>
      </c>
      <c r="D106" s="405">
        <v>0</v>
      </c>
      <c r="E106" s="405">
        <v>0</v>
      </c>
      <c r="F106" s="406">
        <v>0</v>
      </c>
      <c r="G106" s="406">
        <v>0</v>
      </c>
      <c r="H106" s="406">
        <v>137085</v>
      </c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77"/>
      <c r="AT106" s="377"/>
      <c r="AU106" s="377"/>
      <c r="AV106" s="377"/>
      <c r="AW106" s="377"/>
      <c r="AX106" s="377"/>
      <c r="AY106" s="377"/>
      <c r="AZ106" s="377"/>
    </row>
    <row r="107" spans="1:52" s="374" customFormat="1" ht="38.25" hidden="1" outlineLevel="1">
      <c r="A107" s="374" t="s">
        <v>2557</v>
      </c>
      <c r="B107" s="374" t="s">
        <v>2558</v>
      </c>
      <c r="C107" s="375" t="s">
        <v>2559</v>
      </c>
      <c r="D107" s="405">
        <v>0</v>
      </c>
      <c r="E107" s="405">
        <v>-17833.01</v>
      </c>
      <c r="F107" s="406">
        <v>0</v>
      </c>
      <c r="G107" s="406">
        <v>0</v>
      </c>
      <c r="H107" s="406">
        <v>187.42</v>
      </c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  <c r="AT107" s="377"/>
      <c r="AU107" s="377"/>
      <c r="AV107" s="377"/>
      <c r="AW107" s="377"/>
      <c r="AX107" s="377"/>
      <c r="AY107" s="377"/>
      <c r="AZ107" s="377"/>
    </row>
    <row r="108" spans="1:52" s="374" customFormat="1" ht="38.25" hidden="1" outlineLevel="1">
      <c r="A108" s="374" t="s">
        <v>2575</v>
      </c>
      <c r="B108" s="374" t="s">
        <v>2576</v>
      </c>
      <c r="C108" s="375" t="s">
        <v>2577</v>
      </c>
      <c r="D108" s="405">
        <v>0</v>
      </c>
      <c r="E108" s="405">
        <v>0</v>
      </c>
      <c r="F108" s="406">
        <v>0</v>
      </c>
      <c r="G108" s="406">
        <v>140</v>
      </c>
      <c r="H108" s="406">
        <v>0</v>
      </c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7"/>
      <c r="AQ108" s="377"/>
      <c r="AR108" s="377"/>
      <c r="AS108" s="377"/>
      <c r="AT108" s="377"/>
      <c r="AU108" s="377"/>
      <c r="AV108" s="377"/>
      <c r="AW108" s="377"/>
      <c r="AX108" s="377"/>
      <c r="AY108" s="377"/>
      <c r="AZ108" s="377"/>
    </row>
    <row r="109" spans="1:52" ht="12.75" customHeight="1" collapsed="1">
      <c r="A109" s="386" t="s">
        <v>723</v>
      </c>
      <c r="B109" s="401" t="s">
        <v>724</v>
      </c>
      <c r="C109" s="402"/>
      <c r="D109" s="404">
        <v>144.5</v>
      </c>
      <c r="E109" s="404">
        <v>-3806.27</v>
      </c>
      <c r="F109" s="404">
        <v>60249.11</v>
      </c>
      <c r="G109" s="404">
        <v>72.47</v>
      </c>
      <c r="H109" s="404">
        <v>159413.98</v>
      </c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</row>
    <row r="110" spans="1:52" s="374" customFormat="1" ht="38.25" hidden="1" outlineLevel="1">
      <c r="A110" s="374" t="s">
        <v>2125</v>
      </c>
      <c r="B110" s="374" t="s">
        <v>2126</v>
      </c>
      <c r="C110" s="375" t="s">
        <v>2127</v>
      </c>
      <c r="D110" s="405">
        <v>0</v>
      </c>
      <c r="E110" s="405">
        <v>0</v>
      </c>
      <c r="F110" s="406">
        <v>0</v>
      </c>
      <c r="G110" s="406">
        <v>0</v>
      </c>
      <c r="H110" s="406">
        <v>-690000</v>
      </c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377"/>
      <c r="AM110" s="377"/>
      <c r="AN110" s="377"/>
      <c r="AO110" s="377"/>
      <c r="AP110" s="377"/>
      <c r="AQ110" s="377"/>
      <c r="AR110" s="377"/>
      <c r="AS110" s="377"/>
      <c r="AT110" s="377"/>
      <c r="AU110" s="377"/>
      <c r="AV110" s="377"/>
      <c r="AW110" s="377"/>
      <c r="AX110" s="377"/>
      <c r="AY110" s="377"/>
      <c r="AZ110" s="377"/>
    </row>
    <row r="111" spans="1:52" s="374" customFormat="1" ht="38.25" hidden="1" outlineLevel="1">
      <c r="A111" s="374" t="s">
        <v>2158</v>
      </c>
      <c r="B111" s="374" t="s">
        <v>2159</v>
      </c>
      <c r="C111" s="375" t="s">
        <v>2160</v>
      </c>
      <c r="D111" s="405">
        <v>1497.11</v>
      </c>
      <c r="E111" s="405">
        <v>5494.16</v>
      </c>
      <c r="F111" s="406">
        <v>3719.18</v>
      </c>
      <c r="G111" s="406">
        <v>0</v>
      </c>
      <c r="H111" s="406">
        <v>140</v>
      </c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  <c r="AL111" s="377"/>
      <c r="AM111" s="377"/>
      <c r="AN111" s="377"/>
      <c r="AO111" s="377"/>
      <c r="AP111" s="377"/>
      <c r="AQ111" s="377"/>
      <c r="AR111" s="377"/>
      <c r="AS111" s="377"/>
      <c r="AT111" s="377"/>
      <c r="AU111" s="377"/>
      <c r="AV111" s="377"/>
      <c r="AW111" s="377"/>
      <c r="AX111" s="377"/>
      <c r="AY111" s="377"/>
      <c r="AZ111" s="377"/>
    </row>
    <row r="112" spans="1:52" s="374" customFormat="1" ht="38.25" hidden="1" outlineLevel="1">
      <c r="A112" s="374" t="s">
        <v>2161</v>
      </c>
      <c r="B112" s="374" t="s">
        <v>2162</v>
      </c>
      <c r="C112" s="375" t="s">
        <v>2163</v>
      </c>
      <c r="D112" s="405">
        <v>0</v>
      </c>
      <c r="E112" s="405">
        <v>272.35</v>
      </c>
      <c r="F112" s="406">
        <v>58.75</v>
      </c>
      <c r="G112" s="406">
        <v>0</v>
      </c>
      <c r="H112" s="406">
        <v>0</v>
      </c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7"/>
      <c r="AM112" s="377"/>
      <c r="AN112" s="377"/>
      <c r="AO112" s="377"/>
      <c r="AP112" s="377"/>
      <c r="AQ112" s="377"/>
      <c r="AR112" s="377"/>
      <c r="AS112" s="377"/>
      <c r="AT112" s="377"/>
      <c r="AU112" s="377"/>
      <c r="AV112" s="377"/>
      <c r="AW112" s="377"/>
      <c r="AX112" s="377"/>
      <c r="AY112" s="377"/>
      <c r="AZ112" s="377"/>
    </row>
    <row r="113" spans="1:52" s="374" customFormat="1" ht="38.25" hidden="1" outlineLevel="1">
      <c r="A113" s="374" t="s">
        <v>2164</v>
      </c>
      <c r="B113" s="374" t="s">
        <v>2165</v>
      </c>
      <c r="C113" s="375" t="s">
        <v>2166</v>
      </c>
      <c r="D113" s="405">
        <v>0</v>
      </c>
      <c r="E113" s="405">
        <v>0</v>
      </c>
      <c r="F113" s="406">
        <v>8573.56</v>
      </c>
      <c r="G113" s="406">
        <v>0</v>
      </c>
      <c r="H113" s="406">
        <v>0</v>
      </c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7"/>
      <c r="AM113" s="377"/>
      <c r="AN113" s="377"/>
      <c r="AO113" s="377"/>
      <c r="AP113" s="377"/>
      <c r="AQ113" s="377"/>
      <c r="AR113" s="377"/>
      <c r="AS113" s="377"/>
      <c r="AT113" s="377"/>
      <c r="AU113" s="377"/>
      <c r="AV113" s="377"/>
      <c r="AW113" s="377"/>
      <c r="AX113" s="377"/>
      <c r="AY113" s="377"/>
      <c r="AZ113" s="377"/>
    </row>
    <row r="114" spans="1:52" s="374" customFormat="1" ht="38.25" hidden="1" outlineLevel="1">
      <c r="A114" s="374" t="s">
        <v>2170</v>
      </c>
      <c r="B114" s="374" t="s">
        <v>2171</v>
      </c>
      <c r="C114" s="375" t="s">
        <v>2172</v>
      </c>
      <c r="D114" s="405">
        <v>0</v>
      </c>
      <c r="E114" s="405">
        <v>0</v>
      </c>
      <c r="F114" s="406">
        <v>1426.9</v>
      </c>
      <c r="G114" s="406">
        <v>0</v>
      </c>
      <c r="H114" s="406">
        <v>0</v>
      </c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  <c r="AT114" s="377"/>
      <c r="AU114" s="377"/>
      <c r="AV114" s="377"/>
      <c r="AW114" s="377"/>
      <c r="AX114" s="377"/>
      <c r="AY114" s="377"/>
      <c r="AZ114" s="377"/>
    </row>
    <row r="115" spans="1:52" s="374" customFormat="1" ht="38.25" hidden="1" outlineLevel="1">
      <c r="A115" s="374" t="s">
        <v>2179</v>
      </c>
      <c r="B115" s="374" t="s">
        <v>2180</v>
      </c>
      <c r="C115" s="375" t="s">
        <v>2181</v>
      </c>
      <c r="D115" s="405">
        <v>0</v>
      </c>
      <c r="E115" s="405">
        <v>0</v>
      </c>
      <c r="F115" s="406">
        <v>140809.42</v>
      </c>
      <c r="G115" s="406">
        <v>0</v>
      </c>
      <c r="H115" s="406">
        <v>0</v>
      </c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377"/>
      <c r="AN115" s="377"/>
      <c r="AO115" s="377"/>
      <c r="AP115" s="377"/>
      <c r="AQ115" s="377"/>
      <c r="AR115" s="377"/>
      <c r="AS115" s="377"/>
      <c r="AT115" s="377"/>
      <c r="AU115" s="377"/>
      <c r="AV115" s="377"/>
      <c r="AW115" s="377"/>
      <c r="AX115" s="377"/>
      <c r="AY115" s="377"/>
      <c r="AZ115" s="377"/>
    </row>
    <row r="116" spans="1:52" s="374" customFormat="1" ht="38.25" hidden="1" outlineLevel="1">
      <c r="A116" s="374" t="s">
        <v>2182</v>
      </c>
      <c r="B116" s="374" t="s">
        <v>2183</v>
      </c>
      <c r="C116" s="375" t="s">
        <v>2184</v>
      </c>
      <c r="D116" s="405">
        <v>0</v>
      </c>
      <c r="E116" s="405">
        <v>0</v>
      </c>
      <c r="F116" s="406">
        <v>260</v>
      </c>
      <c r="G116" s="406">
        <v>0</v>
      </c>
      <c r="H116" s="406">
        <v>0</v>
      </c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77"/>
      <c r="AT116" s="377"/>
      <c r="AU116" s="377"/>
      <c r="AV116" s="377"/>
      <c r="AW116" s="377"/>
      <c r="AX116" s="377"/>
      <c r="AY116" s="377"/>
      <c r="AZ116" s="377"/>
    </row>
    <row r="117" spans="1:52" s="374" customFormat="1" ht="38.25" hidden="1" outlineLevel="1">
      <c r="A117" s="374" t="s">
        <v>2185</v>
      </c>
      <c r="B117" s="374" t="s">
        <v>2186</v>
      </c>
      <c r="C117" s="375" t="s">
        <v>2187</v>
      </c>
      <c r="D117" s="405">
        <v>0</v>
      </c>
      <c r="E117" s="405">
        <v>0</v>
      </c>
      <c r="F117" s="406">
        <v>11892.85</v>
      </c>
      <c r="G117" s="406">
        <v>0</v>
      </c>
      <c r="H117" s="406">
        <v>0</v>
      </c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7"/>
      <c r="AM117" s="377"/>
      <c r="AN117" s="377"/>
      <c r="AO117" s="377"/>
      <c r="AP117" s="377"/>
      <c r="AQ117" s="377"/>
      <c r="AR117" s="377"/>
      <c r="AS117" s="377"/>
      <c r="AT117" s="377"/>
      <c r="AU117" s="377"/>
      <c r="AV117" s="377"/>
      <c r="AW117" s="377"/>
      <c r="AX117" s="377"/>
      <c r="AY117" s="377"/>
      <c r="AZ117" s="377"/>
    </row>
    <row r="118" spans="1:52" s="374" customFormat="1" ht="38.25" hidden="1" outlineLevel="1">
      <c r="A118" s="374" t="s">
        <v>2191</v>
      </c>
      <c r="B118" s="374" t="s">
        <v>2192</v>
      </c>
      <c r="C118" s="375" t="s">
        <v>2193</v>
      </c>
      <c r="D118" s="405">
        <v>0</v>
      </c>
      <c r="E118" s="405">
        <v>40</v>
      </c>
      <c r="F118" s="406">
        <v>155</v>
      </c>
      <c r="G118" s="406">
        <v>0</v>
      </c>
      <c r="H118" s="406">
        <v>212</v>
      </c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  <c r="AL118" s="377"/>
      <c r="AM118" s="377"/>
      <c r="AN118" s="377"/>
      <c r="AO118" s="377"/>
      <c r="AP118" s="377"/>
      <c r="AQ118" s="377"/>
      <c r="AR118" s="377"/>
      <c r="AS118" s="377"/>
      <c r="AT118" s="377"/>
      <c r="AU118" s="377"/>
      <c r="AV118" s="377"/>
      <c r="AW118" s="377"/>
      <c r="AX118" s="377"/>
      <c r="AY118" s="377"/>
      <c r="AZ118" s="377"/>
    </row>
    <row r="119" spans="1:52" s="374" customFormat="1" ht="38.25" hidden="1" outlineLevel="1">
      <c r="A119" s="374" t="s">
        <v>2194</v>
      </c>
      <c r="B119" s="374" t="s">
        <v>2195</v>
      </c>
      <c r="C119" s="375" t="s">
        <v>2196</v>
      </c>
      <c r="D119" s="405">
        <v>115</v>
      </c>
      <c r="E119" s="405">
        <v>70</v>
      </c>
      <c r="F119" s="406">
        <v>-165</v>
      </c>
      <c r="G119" s="406">
        <v>0</v>
      </c>
      <c r="H119" s="406">
        <v>35</v>
      </c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77"/>
      <c r="AT119" s="377"/>
      <c r="AU119" s="377"/>
      <c r="AV119" s="377"/>
      <c r="AW119" s="377"/>
      <c r="AX119" s="377"/>
      <c r="AY119" s="377"/>
      <c r="AZ119" s="377"/>
    </row>
    <row r="120" spans="1:52" s="374" customFormat="1" ht="38.25" hidden="1" outlineLevel="1">
      <c r="A120" s="374" t="s">
        <v>2197</v>
      </c>
      <c r="B120" s="374" t="s">
        <v>2198</v>
      </c>
      <c r="C120" s="375" t="s">
        <v>2199</v>
      </c>
      <c r="D120" s="405">
        <v>793.95</v>
      </c>
      <c r="E120" s="405">
        <v>667.86</v>
      </c>
      <c r="F120" s="406">
        <v>2503.4</v>
      </c>
      <c r="G120" s="406">
        <v>0</v>
      </c>
      <c r="H120" s="406">
        <v>280.7</v>
      </c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377"/>
      <c r="AM120" s="377"/>
      <c r="AN120" s="377"/>
      <c r="AO120" s="377"/>
      <c r="AP120" s="377"/>
      <c r="AQ120" s="377"/>
      <c r="AR120" s="377"/>
      <c r="AS120" s="377"/>
      <c r="AT120" s="377"/>
      <c r="AU120" s="377"/>
      <c r="AV120" s="377"/>
      <c r="AW120" s="377"/>
      <c r="AX120" s="377"/>
      <c r="AY120" s="377"/>
      <c r="AZ120" s="377"/>
    </row>
    <row r="121" spans="1:52" s="374" customFormat="1" ht="38.25" hidden="1" outlineLevel="1">
      <c r="A121" s="374" t="s">
        <v>2206</v>
      </c>
      <c r="B121" s="374" t="s">
        <v>2207</v>
      </c>
      <c r="C121" s="375" t="s">
        <v>2208</v>
      </c>
      <c r="D121" s="405">
        <v>308</v>
      </c>
      <c r="E121" s="405">
        <v>0</v>
      </c>
      <c r="F121" s="406">
        <v>0</v>
      </c>
      <c r="G121" s="406">
        <v>0</v>
      </c>
      <c r="H121" s="406">
        <v>0</v>
      </c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  <c r="AT121" s="377"/>
      <c r="AU121" s="377"/>
      <c r="AV121" s="377"/>
      <c r="AW121" s="377"/>
      <c r="AX121" s="377"/>
      <c r="AY121" s="377"/>
      <c r="AZ121" s="377"/>
    </row>
    <row r="122" spans="1:52" s="374" customFormat="1" ht="38.25" hidden="1" outlineLevel="1">
      <c r="A122" s="374" t="s">
        <v>2209</v>
      </c>
      <c r="B122" s="374" t="s">
        <v>2210</v>
      </c>
      <c r="C122" s="375" t="s">
        <v>2211</v>
      </c>
      <c r="D122" s="405">
        <v>1190</v>
      </c>
      <c r="E122" s="405">
        <v>0</v>
      </c>
      <c r="F122" s="406">
        <v>0</v>
      </c>
      <c r="G122" s="406">
        <v>0</v>
      </c>
      <c r="H122" s="406">
        <v>0</v>
      </c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7"/>
      <c r="AQ122" s="377"/>
      <c r="AR122" s="377"/>
      <c r="AS122" s="377"/>
      <c r="AT122" s="377"/>
      <c r="AU122" s="377"/>
      <c r="AV122" s="377"/>
      <c r="AW122" s="377"/>
      <c r="AX122" s="377"/>
      <c r="AY122" s="377"/>
      <c r="AZ122" s="377"/>
    </row>
    <row r="123" spans="1:52" s="374" customFormat="1" ht="38.25" hidden="1" outlineLevel="1">
      <c r="A123" s="374" t="s">
        <v>2221</v>
      </c>
      <c r="B123" s="374" t="s">
        <v>2222</v>
      </c>
      <c r="C123" s="375" t="s">
        <v>2223</v>
      </c>
      <c r="D123" s="405">
        <v>2509.04</v>
      </c>
      <c r="E123" s="405">
        <v>1519.97</v>
      </c>
      <c r="F123" s="406">
        <v>4319.41</v>
      </c>
      <c r="G123" s="406">
        <v>708.25</v>
      </c>
      <c r="H123" s="406">
        <v>140.35</v>
      </c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</row>
    <row r="124" spans="1:52" s="374" customFormat="1" ht="38.25" hidden="1" outlineLevel="1">
      <c r="A124" s="374" t="s">
        <v>2230</v>
      </c>
      <c r="B124" s="374" t="s">
        <v>2231</v>
      </c>
      <c r="C124" s="375" t="s">
        <v>2232</v>
      </c>
      <c r="D124" s="405">
        <v>0</v>
      </c>
      <c r="E124" s="405">
        <v>0</v>
      </c>
      <c r="F124" s="406">
        <v>763.24</v>
      </c>
      <c r="G124" s="406">
        <v>0</v>
      </c>
      <c r="H124" s="406">
        <v>0</v>
      </c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7"/>
      <c r="AM124" s="377"/>
      <c r="AN124" s="377"/>
      <c r="AO124" s="377"/>
      <c r="AP124" s="377"/>
      <c r="AQ124" s="377"/>
      <c r="AR124" s="377"/>
      <c r="AS124" s="377"/>
      <c r="AT124" s="377"/>
      <c r="AU124" s="377"/>
      <c r="AV124" s="377"/>
      <c r="AW124" s="377"/>
      <c r="AX124" s="377"/>
      <c r="AY124" s="377"/>
      <c r="AZ124" s="377"/>
    </row>
    <row r="125" spans="1:52" s="374" customFormat="1" ht="38.25" hidden="1" outlineLevel="1">
      <c r="A125" s="374" t="s">
        <v>2233</v>
      </c>
      <c r="B125" s="374" t="s">
        <v>2234</v>
      </c>
      <c r="C125" s="375" t="s">
        <v>2235</v>
      </c>
      <c r="D125" s="405">
        <v>4.42</v>
      </c>
      <c r="E125" s="405">
        <v>0</v>
      </c>
      <c r="F125" s="406">
        <v>0</v>
      </c>
      <c r="G125" s="406">
        <v>0</v>
      </c>
      <c r="H125" s="406">
        <v>0</v>
      </c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  <c r="AL125" s="377"/>
      <c r="AM125" s="377"/>
      <c r="AN125" s="377"/>
      <c r="AO125" s="377"/>
      <c r="AP125" s="377"/>
      <c r="AQ125" s="377"/>
      <c r="AR125" s="377"/>
      <c r="AS125" s="377"/>
      <c r="AT125" s="377"/>
      <c r="AU125" s="377"/>
      <c r="AV125" s="377"/>
      <c r="AW125" s="377"/>
      <c r="AX125" s="377"/>
      <c r="AY125" s="377"/>
      <c r="AZ125" s="377"/>
    </row>
    <row r="126" spans="1:52" s="374" customFormat="1" ht="38.25" hidden="1" outlineLevel="1">
      <c r="A126" s="374" t="s">
        <v>2239</v>
      </c>
      <c r="B126" s="374" t="s">
        <v>2240</v>
      </c>
      <c r="C126" s="375" t="s">
        <v>2241</v>
      </c>
      <c r="D126" s="405">
        <v>14351.17</v>
      </c>
      <c r="E126" s="405">
        <v>88513.07</v>
      </c>
      <c r="F126" s="406">
        <v>11705.67</v>
      </c>
      <c r="G126" s="406">
        <v>27264.46</v>
      </c>
      <c r="H126" s="406">
        <v>12026.2</v>
      </c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77"/>
      <c r="AT126" s="377"/>
      <c r="AU126" s="377"/>
      <c r="AV126" s="377"/>
      <c r="AW126" s="377"/>
      <c r="AX126" s="377"/>
      <c r="AY126" s="377"/>
      <c r="AZ126" s="377"/>
    </row>
    <row r="127" spans="1:52" s="374" customFormat="1" ht="38.25" hidden="1" outlineLevel="1">
      <c r="A127" s="374" t="s">
        <v>2245</v>
      </c>
      <c r="B127" s="374" t="s">
        <v>2246</v>
      </c>
      <c r="C127" s="375" t="s">
        <v>2247</v>
      </c>
      <c r="D127" s="405">
        <v>0</v>
      </c>
      <c r="E127" s="405">
        <v>500</v>
      </c>
      <c r="F127" s="406">
        <v>0</v>
      </c>
      <c r="G127" s="406">
        <v>0</v>
      </c>
      <c r="H127" s="406">
        <v>262</v>
      </c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  <c r="AL127" s="377"/>
      <c r="AM127" s="377"/>
      <c r="AN127" s="377"/>
      <c r="AO127" s="377"/>
      <c r="AP127" s="377"/>
      <c r="AQ127" s="377"/>
      <c r="AR127" s="377"/>
      <c r="AS127" s="377"/>
      <c r="AT127" s="377"/>
      <c r="AU127" s="377"/>
      <c r="AV127" s="377"/>
      <c r="AW127" s="377"/>
      <c r="AX127" s="377"/>
      <c r="AY127" s="377"/>
      <c r="AZ127" s="377"/>
    </row>
    <row r="128" spans="1:52" s="374" customFormat="1" ht="38.25" hidden="1" outlineLevel="1">
      <c r="A128" s="374" t="s">
        <v>2251</v>
      </c>
      <c r="B128" s="374" t="s">
        <v>2252</v>
      </c>
      <c r="C128" s="375" t="s">
        <v>2253</v>
      </c>
      <c r="D128" s="405">
        <v>0</v>
      </c>
      <c r="E128" s="405">
        <v>0</v>
      </c>
      <c r="F128" s="406">
        <v>1028.27</v>
      </c>
      <c r="G128" s="406">
        <v>0</v>
      </c>
      <c r="H128" s="406">
        <v>0</v>
      </c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  <c r="AT128" s="377"/>
      <c r="AU128" s="377"/>
      <c r="AV128" s="377"/>
      <c r="AW128" s="377"/>
      <c r="AX128" s="377"/>
      <c r="AY128" s="377"/>
      <c r="AZ128" s="377"/>
    </row>
    <row r="129" spans="1:52" s="374" customFormat="1" ht="38.25" hidden="1" outlineLevel="1">
      <c r="A129" s="374" t="s">
        <v>2254</v>
      </c>
      <c r="B129" s="374" t="s">
        <v>2255</v>
      </c>
      <c r="C129" s="375" t="s">
        <v>2256</v>
      </c>
      <c r="D129" s="405">
        <v>0</v>
      </c>
      <c r="E129" s="405">
        <v>694</v>
      </c>
      <c r="F129" s="406">
        <v>221</v>
      </c>
      <c r="G129" s="406">
        <v>0</v>
      </c>
      <c r="H129" s="406">
        <v>1556.5</v>
      </c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377"/>
      <c r="AP129" s="377"/>
      <c r="AQ129" s="377"/>
      <c r="AR129" s="377"/>
      <c r="AS129" s="377"/>
      <c r="AT129" s="377"/>
      <c r="AU129" s="377"/>
      <c r="AV129" s="377"/>
      <c r="AW129" s="377"/>
      <c r="AX129" s="377"/>
      <c r="AY129" s="377"/>
      <c r="AZ129" s="377"/>
    </row>
    <row r="130" spans="1:52" s="374" customFormat="1" ht="38.25" hidden="1" outlineLevel="1">
      <c r="A130" s="374" t="s">
        <v>2257</v>
      </c>
      <c r="B130" s="374" t="s">
        <v>2258</v>
      </c>
      <c r="C130" s="375" t="s">
        <v>2259</v>
      </c>
      <c r="D130" s="405">
        <v>811.71</v>
      </c>
      <c r="E130" s="405">
        <v>807.09</v>
      </c>
      <c r="F130" s="406">
        <v>5464.57</v>
      </c>
      <c r="G130" s="406">
        <v>0</v>
      </c>
      <c r="H130" s="406">
        <v>553.97</v>
      </c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377"/>
      <c r="AY130" s="377"/>
      <c r="AZ130" s="377"/>
    </row>
    <row r="131" spans="1:52" s="374" customFormat="1" ht="38.25" hidden="1" outlineLevel="1">
      <c r="A131" s="374" t="s">
        <v>2263</v>
      </c>
      <c r="B131" s="374" t="s">
        <v>2264</v>
      </c>
      <c r="C131" s="375" t="s">
        <v>2265</v>
      </c>
      <c r="D131" s="405">
        <v>7065.16</v>
      </c>
      <c r="E131" s="405">
        <v>298.01</v>
      </c>
      <c r="F131" s="406">
        <v>78846.25</v>
      </c>
      <c r="G131" s="406">
        <v>0</v>
      </c>
      <c r="H131" s="406">
        <v>1130</v>
      </c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  <c r="AL131" s="377"/>
      <c r="AM131" s="377"/>
      <c r="AN131" s="377"/>
      <c r="AO131" s="377"/>
      <c r="AP131" s="377"/>
      <c r="AQ131" s="377"/>
      <c r="AR131" s="377"/>
      <c r="AS131" s="377"/>
      <c r="AT131" s="377"/>
      <c r="AU131" s="377"/>
      <c r="AV131" s="377"/>
      <c r="AW131" s="377"/>
      <c r="AX131" s="377"/>
      <c r="AY131" s="377"/>
      <c r="AZ131" s="377"/>
    </row>
    <row r="132" spans="1:52" s="374" customFormat="1" ht="38.25" hidden="1" outlineLevel="1">
      <c r="A132" s="374" t="s">
        <v>2266</v>
      </c>
      <c r="B132" s="374" t="s">
        <v>2267</v>
      </c>
      <c r="C132" s="375" t="s">
        <v>2268</v>
      </c>
      <c r="D132" s="405">
        <v>0</v>
      </c>
      <c r="E132" s="405">
        <v>2918.04</v>
      </c>
      <c r="F132" s="406">
        <v>0</v>
      </c>
      <c r="G132" s="406">
        <v>951.16</v>
      </c>
      <c r="H132" s="406">
        <v>690.1</v>
      </c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  <c r="AL132" s="377"/>
      <c r="AM132" s="377"/>
      <c r="AN132" s="377"/>
      <c r="AO132" s="377"/>
      <c r="AP132" s="377"/>
      <c r="AQ132" s="377"/>
      <c r="AR132" s="377"/>
      <c r="AS132" s="377"/>
      <c r="AT132" s="377"/>
      <c r="AU132" s="377"/>
      <c r="AV132" s="377"/>
      <c r="AW132" s="377"/>
      <c r="AX132" s="377"/>
      <c r="AY132" s="377"/>
      <c r="AZ132" s="377"/>
    </row>
    <row r="133" spans="1:52" s="374" customFormat="1" ht="38.25" hidden="1" outlineLevel="1">
      <c r="A133" s="374" t="s">
        <v>2275</v>
      </c>
      <c r="B133" s="374" t="s">
        <v>2276</v>
      </c>
      <c r="C133" s="375" t="s">
        <v>2277</v>
      </c>
      <c r="D133" s="405">
        <v>0</v>
      </c>
      <c r="E133" s="405">
        <v>0</v>
      </c>
      <c r="F133" s="406">
        <v>1428.65</v>
      </c>
      <c r="G133" s="406">
        <v>0</v>
      </c>
      <c r="H133" s="406">
        <v>0</v>
      </c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  <c r="AL133" s="377"/>
      <c r="AM133" s="377"/>
      <c r="AN133" s="377"/>
      <c r="AO133" s="377"/>
      <c r="AP133" s="377"/>
      <c r="AQ133" s="377"/>
      <c r="AR133" s="377"/>
      <c r="AS133" s="377"/>
      <c r="AT133" s="377"/>
      <c r="AU133" s="377"/>
      <c r="AV133" s="377"/>
      <c r="AW133" s="377"/>
      <c r="AX133" s="377"/>
      <c r="AY133" s="377"/>
      <c r="AZ133" s="377"/>
    </row>
    <row r="134" spans="1:52" s="374" customFormat="1" ht="38.25" hidden="1" outlineLevel="1">
      <c r="A134" s="374" t="s">
        <v>2281</v>
      </c>
      <c r="B134" s="374" t="s">
        <v>2282</v>
      </c>
      <c r="C134" s="375" t="s">
        <v>2283</v>
      </c>
      <c r="D134" s="405">
        <v>496.15</v>
      </c>
      <c r="E134" s="405">
        <v>0</v>
      </c>
      <c r="F134" s="406">
        <v>44311</v>
      </c>
      <c r="G134" s="406">
        <v>744.22</v>
      </c>
      <c r="H134" s="406">
        <v>2130.05</v>
      </c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  <c r="AL134" s="377"/>
      <c r="AM134" s="377"/>
      <c r="AN134" s="377"/>
      <c r="AO134" s="377"/>
      <c r="AP134" s="377"/>
      <c r="AQ134" s="377"/>
      <c r="AR134" s="377"/>
      <c r="AS134" s="377"/>
      <c r="AT134" s="377"/>
      <c r="AU134" s="377"/>
      <c r="AV134" s="377"/>
      <c r="AW134" s="377"/>
      <c r="AX134" s="377"/>
      <c r="AY134" s="377"/>
      <c r="AZ134" s="377"/>
    </row>
    <row r="135" spans="1:52" s="374" customFormat="1" ht="38.25" hidden="1" outlineLevel="1">
      <c r="A135" s="374" t="s">
        <v>2284</v>
      </c>
      <c r="B135" s="374" t="s">
        <v>2285</v>
      </c>
      <c r="C135" s="375" t="s">
        <v>2286</v>
      </c>
      <c r="D135" s="405">
        <v>464</v>
      </c>
      <c r="E135" s="405">
        <v>707.75</v>
      </c>
      <c r="F135" s="406">
        <v>2903.49</v>
      </c>
      <c r="G135" s="406">
        <v>744</v>
      </c>
      <c r="H135" s="406">
        <v>608.5</v>
      </c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  <c r="AL135" s="377"/>
      <c r="AM135" s="377"/>
      <c r="AN135" s="377"/>
      <c r="AO135" s="377"/>
      <c r="AP135" s="377"/>
      <c r="AQ135" s="377"/>
      <c r="AR135" s="377"/>
      <c r="AS135" s="377"/>
      <c r="AT135" s="377"/>
      <c r="AU135" s="377"/>
      <c r="AV135" s="377"/>
      <c r="AW135" s="377"/>
      <c r="AX135" s="377"/>
      <c r="AY135" s="377"/>
      <c r="AZ135" s="377"/>
    </row>
    <row r="136" spans="1:52" s="374" customFormat="1" ht="38.25" hidden="1" outlineLevel="1">
      <c r="A136" s="374" t="s">
        <v>2287</v>
      </c>
      <c r="B136" s="374" t="s">
        <v>2288</v>
      </c>
      <c r="C136" s="375" t="s">
        <v>2289</v>
      </c>
      <c r="D136" s="405">
        <v>0</v>
      </c>
      <c r="E136" s="405">
        <v>1430.07</v>
      </c>
      <c r="F136" s="406">
        <v>6250</v>
      </c>
      <c r="G136" s="406">
        <v>10539.9</v>
      </c>
      <c r="H136" s="406">
        <v>0</v>
      </c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  <c r="AL136" s="377"/>
      <c r="AM136" s="377"/>
      <c r="AN136" s="377"/>
      <c r="AO136" s="377"/>
      <c r="AP136" s="377"/>
      <c r="AQ136" s="377"/>
      <c r="AR136" s="377"/>
      <c r="AS136" s="377"/>
      <c r="AT136" s="377"/>
      <c r="AU136" s="377"/>
      <c r="AV136" s="377"/>
      <c r="AW136" s="377"/>
      <c r="AX136" s="377"/>
      <c r="AY136" s="377"/>
      <c r="AZ136" s="377"/>
    </row>
    <row r="137" spans="1:52" s="374" customFormat="1" ht="38.25" hidden="1" outlineLevel="1">
      <c r="A137" s="374" t="s">
        <v>2290</v>
      </c>
      <c r="B137" s="374" t="s">
        <v>2291</v>
      </c>
      <c r="C137" s="375" t="s">
        <v>2292</v>
      </c>
      <c r="D137" s="405">
        <v>1674</v>
      </c>
      <c r="E137" s="405">
        <v>2272.1</v>
      </c>
      <c r="F137" s="406">
        <v>7944.08</v>
      </c>
      <c r="G137" s="406">
        <v>2525.82</v>
      </c>
      <c r="H137" s="406">
        <v>399.9</v>
      </c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77"/>
      <c r="AP137" s="377"/>
      <c r="AQ137" s="377"/>
      <c r="AR137" s="377"/>
      <c r="AS137" s="377"/>
      <c r="AT137" s="377"/>
      <c r="AU137" s="377"/>
      <c r="AV137" s="377"/>
      <c r="AW137" s="377"/>
      <c r="AX137" s="377"/>
      <c r="AY137" s="377"/>
      <c r="AZ137" s="377"/>
    </row>
    <row r="138" spans="1:52" s="374" customFormat="1" ht="38.25" hidden="1" outlineLevel="1">
      <c r="A138" s="374" t="s">
        <v>2404</v>
      </c>
      <c r="B138" s="374" t="s">
        <v>2405</v>
      </c>
      <c r="C138" s="375" t="s">
        <v>2406</v>
      </c>
      <c r="D138" s="405">
        <v>4534.62</v>
      </c>
      <c r="E138" s="405">
        <v>205</v>
      </c>
      <c r="F138" s="406">
        <v>26930</v>
      </c>
      <c r="G138" s="406">
        <v>25</v>
      </c>
      <c r="H138" s="406">
        <v>3249</v>
      </c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377"/>
      <c r="AT138" s="377"/>
      <c r="AU138" s="377"/>
      <c r="AV138" s="377"/>
      <c r="AW138" s="377"/>
      <c r="AX138" s="377"/>
      <c r="AY138" s="377"/>
      <c r="AZ138" s="377"/>
    </row>
    <row r="139" spans="1:52" s="374" customFormat="1" ht="38.25" hidden="1" outlineLevel="1">
      <c r="A139" s="374" t="s">
        <v>2407</v>
      </c>
      <c r="B139" s="374" t="s">
        <v>2408</v>
      </c>
      <c r="C139" s="375" t="s">
        <v>2409</v>
      </c>
      <c r="D139" s="405">
        <v>0</v>
      </c>
      <c r="E139" s="405">
        <v>0</v>
      </c>
      <c r="F139" s="406">
        <v>790</v>
      </c>
      <c r="G139" s="406">
        <v>0</v>
      </c>
      <c r="H139" s="406">
        <v>0</v>
      </c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7"/>
      <c r="AX139" s="377"/>
      <c r="AY139" s="377"/>
      <c r="AZ139" s="377"/>
    </row>
    <row r="140" spans="1:52" s="374" customFormat="1" ht="38.25" hidden="1" outlineLevel="1">
      <c r="A140" s="374" t="s">
        <v>2416</v>
      </c>
      <c r="B140" s="374" t="s">
        <v>2417</v>
      </c>
      <c r="C140" s="375" t="s">
        <v>2418</v>
      </c>
      <c r="D140" s="405">
        <v>637.5</v>
      </c>
      <c r="E140" s="405">
        <v>75</v>
      </c>
      <c r="F140" s="406">
        <v>307.75</v>
      </c>
      <c r="G140" s="406">
        <v>12807.07</v>
      </c>
      <c r="H140" s="406">
        <v>385</v>
      </c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377"/>
      <c r="AV140" s="377"/>
      <c r="AW140" s="377"/>
      <c r="AX140" s="377"/>
      <c r="AY140" s="377"/>
      <c r="AZ140" s="377"/>
    </row>
    <row r="141" spans="1:52" s="374" customFormat="1" ht="38.25" hidden="1" outlineLevel="1">
      <c r="A141" s="374" t="s">
        <v>2422</v>
      </c>
      <c r="B141" s="374" t="s">
        <v>2423</v>
      </c>
      <c r="C141" s="375" t="s">
        <v>2424</v>
      </c>
      <c r="D141" s="405">
        <v>0</v>
      </c>
      <c r="E141" s="405">
        <v>0</v>
      </c>
      <c r="F141" s="406">
        <v>199.97</v>
      </c>
      <c r="G141" s="406">
        <v>0</v>
      </c>
      <c r="H141" s="406">
        <v>0</v>
      </c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</row>
    <row r="142" spans="1:52" s="374" customFormat="1" ht="38.25" hidden="1" outlineLevel="1">
      <c r="A142" s="374" t="s">
        <v>2425</v>
      </c>
      <c r="B142" s="374" t="s">
        <v>2426</v>
      </c>
      <c r="C142" s="375" t="s">
        <v>2427</v>
      </c>
      <c r="D142" s="405">
        <v>12537.02</v>
      </c>
      <c r="E142" s="405">
        <v>1068.34</v>
      </c>
      <c r="F142" s="406">
        <v>0</v>
      </c>
      <c r="G142" s="406">
        <v>0</v>
      </c>
      <c r="H142" s="406">
        <v>1234</v>
      </c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</row>
    <row r="143" spans="1:52" s="374" customFormat="1" ht="38.25" hidden="1" outlineLevel="1">
      <c r="A143" s="374" t="s">
        <v>2434</v>
      </c>
      <c r="B143" s="374" t="s">
        <v>2435</v>
      </c>
      <c r="C143" s="375" t="s">
        <v>2436</v>
      </c>
      <c r="D143" s="405">
        <v>2100</v>
      </c>
      <c r="E143" s="405">
        <v>525</v>
      </c>
      <c r="F143" s="406">
        <v>2625</v>
      </c>
      <c r="G143" s="406">
        <v>612.5</v>
      </c>
      <c r="H143" s="406">
        <v>4200</v>
      </c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</row>
    <row r="144" spans="1:52" s="374" customFormat="1" ht="38.25" hidden="1" outlineLevel="1">
      <c r="A144" s="374" t="s">
        <v>2440</v>
      </c>
      <c r="B144" s="374" t="s">
        <v>2441</v>
      </c>
      <c r="C144" s="375" t="s">
        <v>2442</v>
      </c>
      <c r="D144" s="405">
        <v>7395</v>
      </c>
      <c r="E144" s="405">
        <v>0</v>
      </c>
      <c r="F144" s="406">
        <v>0</v>
      </c>
      <c r="G144" s="406">
        <v>0</v>
      </c>
      <c r="H144" s="406">
        <v>0</v>
      </c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</row>
    <row r="145" spans="1:52" s="374" customFormat="1" ht="38.25" hidden="1" outlineLevel="1">
      <c r="A145" s="374" t="s">
        <v>2473</v>
      </c>
      <c r="B145" s="374" t="s">
        <v>2474</v>
      </c>
      <c r="C145" s="375" t="s">
        <v>2475</v>
      </c>
      <c r="D145" s="405">
        <v>0</v>
      </c>
      <c r="E145" s="405">
        <v>0</v>
      </c>
      <c r="F145" s="406">
        <v>1534.23</v>
      </c>
      <c r="G145" s="406">
        <v>0</v>
      </c>
      <c r="H145" s="406">
        <v>0</v>
      </c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</row>
    <row r="146" spans="1:52" s="374" customFormat="1" ht="38.25" hidden="1" outlineLevel="1">
      <c r="A146" s="374" t="s">
        <v>2482</v>
      </c>
      <c r="B146" s="374" t="s">
        <v>2483</v>
      </c>
      <c r="C146" s="375" t="s">
        <v>2484</v>
      </c>
      <c r="D146" s="405">
        <v>710201.82</v>
      </c>
      <c r="E146" s="405">
        <v>-16630.36</v>
      </c>
      <c r="F146" s="406">
        <v>1589.86</v>
      </c>
      <c r="G146" s="406">
        <v>2561.1</v>
      </c>
      <c r="H146" s="406">
        <v>1169.63</v>
      </c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</row>
    <row r="147" spans="1:52" s="374" customFormat="1" ht="38.25" hidden="1" outlineLevel="1">
      <c r="A147" s="374" t="s">
        <v>2500</v>
      </c>
      <c r="B147" s="374" t="s">
        <v>2501</v>
      </c>
      <c r="C147" s="375" t="s">
        <v>2502</v>
      </c>
      <c r="D147" s="405">
        <v>62806.89</v>
      </c>
      <c r="E147" s="405">
        <v>0</v>
      </c>
      <c r="F147" s="406">
        <v>55976.55</v>
      </c>
      <c r="G147" s="406">
        <v>27899.13</v>
      </c>
      <c r="H147" s="406">
        <v>63813.23</v>
      </c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</row>
    <row r="148" spans="1:52" s="374" customFormat="1" ht="38.25" hidden="1" outlineLevel="1">
      <c r="A148" s="374" t="s">
        <v>2506</v>
      </c>
      <c r="B148" s="374" t="s">
        <v>2507</v>
      </c>
      <c r="C148" s="375" t="s">
        <v>2508</v>
      </c>
      <c r="D148" s="405">
        <v>100</v>
      </c>
      <c r="E148" s="405">
        <v>0</v>
      </c>
      <c r="F148" s="406">
        <v>0</v>
      </c>
      <c r="G148" s="406">
        <v>0</v>
      </c>
      <c r="H148" s="406">
        <v>27001.01</v>
      </c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</row>
    <row r="149" spans="1:52" s="374" customFormat="1" ht="38.25" hidden="1" outlineLevel="1">
      <c r="A149" s="374" t="s">
        <v>2518</v>
      </c>
      <c r="B149" s="374" t="s">
        <v>2519</v>
      </c>
      <c r="C149" s="375" t="s">
        <v>2520</v>
      </c>
      <c r="D149" s="405">
        <v>42906.88</v>
      </c>
      <c r="E149" s="405">
        <v>0</v>
      </c>
      <c r="F149" s="406">
        <v>0</v>
      </c>
      <c r="G149" s="406">
        <v>0</v>
      </c>
      <c r="H149" s="406">
        <v>0</v>
      </c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  <c r="AL149" s="377"/>
      <c r="AM149" s="377"/>
      <c r="AN149" s="377"/>
      <c r="AO149" s="377"/>
      <c r="AP149" s="377"/>
      <c r="AQ149" s="377"/>
      <c r="AR149" s="377"/>
      <c r="AS149" s="377"/>
      <c r="AT149" s="377"/>
      <c r="AU149" s="377"/>
      <c r="AV149" s="377"/>
      <c r="AW149" s="377"/>
      <c r="AX149" s="377"/>
      <c r="AY149" s="377"/>
      <c r="AZ149" s="377"/>
    </row>
    <row r="150" spans="1:52" s="374" customFormat="1" ht="38.25" hidden="1" outlineLevel="1">
      <c r="A150" s="374" t="s">
        <v>2650</v>
      </c>
      <c r="B150" s="374" t="s">
        <v>2651</v>
      </c>
      <c r="C150" s="375" t="s">
        <v>2652</v>
      </c>
      <c r="D150" s="405">
        <v>138406</v>
      </c>
      <c r="E150" s="405">
        <v>44976</v>
      </c>
      <c r="F150" s="406">
        <v>79062</v>
      </c>
      <c r="G150" s="406">
        <v>73521</v>
      </c>
      <c r="H150" s="406">
        <v>253579</v>
      </c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  <c r="AL150" s="377"/>
      <c r="AM150" s="377"/>
      <c r="AN150" s="377"/>
      <c r="AO150" s="377"/>
      <c r="AP150" s="377"/>
      <c r="AQ150" s="377"/>
      <c r="AR150" s="377"/>
      <c r="AS150" s="377"/>
      <c r="AT150" s="377"/>
      <c r="AU150" s="377"/>
      <c r="AV150" s="377"/>
      <c r="AW150" s="377"/>
      <c r="AX150" s="377"/>
      <c r="AY150" s="377"/>
      <c r="AZ150" s="377"/>
    </row>
    <row r="151" spans="1:52" s="374" customFormat="1" ht="38.25" hidden="1" outlineLevel="1">
      <c r="A151" s="374" t="s">
        <v>2653</v>
      </c>
      <c r="B151" s="374" t="s">
        <v>2654</v>
      </c>
      <c r="C151" s="375" t="s">
        <v>2655</v>
      </c>
      <c r="D151" s="405">
        <v>0</v>
      </c>
      <c r="E151" s="405">
        <v>55123.33</v>
      </c>
      <c r="F151" s="406">
        <v>162468</v>
      </c>
      <c r="G151" s="406">
        <v>257677.44</v>
      </c>
      <c r="H151" s="406">
        <v>68444.84</v>
      </c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77"/>
      <c r="AP151" s="377"/>
      <c r="AQ151" s="377"/>
      <c r="AR151" s="377"/>
      <c r="AS151" s="377"/>
      <c r="AT151" s="377"/>
      <c r="AU151" s="377"/>
      <c r="AV151" s="377"/>
      <c r="AW151" s="377"/>
      <c r="AX151" s="377"/>
      <c r="AY151" s="377"/>
      <c r="AZ151" s="377"/>
    </row>
    <row r="152" spans="1:52" ht="12.75" customHeight="1" collapsed="1">
      <c r="A152" s="386" t="s">
        <v>725</v>
      </c>
      <c r="B152" s="401" t="s">
        <v>726</v>
      </c>
      <c r="C152" s="402"/>
      <c r="D152" s="404">
        <v>1012905.44</v>
      </c>
      <c r="E152" s="404">
        <v>191546.78</v>
      </c>
      <c r="F152" s="404">
        <v>665903.05</v>
      </c>
      <c r="G152" s="404">
        <v>418581.05</v>
      </c>
      <c r="H152" s="404">
        <v>-246759.02</v>
      </c>
      <c r="I152" s="386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  <c r="U152" s="386"/>
      <c r="V152" s="386"/>
      <c r="W152" s="386"/>
      <c r="X152" s="386"/>
      <c r="Y152" s="386"/>
      <c r="Z152" s="386"/>
      <c r="AA152" s="386"/>
      <c r="AB152" s="386"/>
      <c r="AC152" s="386"/>
      <c r="AD152" s="386"/>
      <c r="AE152" s="386"/>
      <c r="AF152" s="386"/>
      <c r="AG152" s="386"/>
      <c r="AH152" s="386"/>
      <c r="AI152" s="386"/>
      <c r="AJ152" s="386"/>
      <c r="AK152" s="386"/>
      <c r="AL152" s="386"/>
      <c r="AM152" s="386"/>
      <c r="AN152" s="386"/>
      <c r="AO152" s="386"/>
      <c r="AP152" s="386"/>
      <c r="AQ152" s="386"/>
      <c r="AR152" s="386"/>
      <c r="AS152" s="386"/>
      <c r="AT152" s="386"/>
      <c r="AU152" s="386"/>
      <c r="AV152" s="386"/>
      <c r="AW152" s="386"/>
      <c r="AX152" s="386"/>
      <c r="AY152" s="386"/>
      <c r="AZ152" s="386"/>
    </row>
    <row r="153" spans="2:52" s="411" customFormat="1" ht="12.75" customHeight="1">
      <c r="B153" s="398" t="s">
        <v>727</v>
      </c>
      <c r="C153" s="399"/>
      <c r="D153" s="408">
        <f>D52+D62+D65+D71+D101+D109+D152</f>
        <v>6992451.1</v>
      </c>
      <c r="E153" s="408">
        <f>E52+E62+E65+E71+E101+E109+E152</f>
        <v>1875369.64</v>
      </c>
      <c r="F153" s="408">
        <f>F52+F62+F65+F71+F101+F109+F152</f>
        <v>1636696.54</v>
      </c>
      <c r="G153" s="408">
        <f>G52+G62+G65+G71+G101+G109+G152</f>
        <v>1115243.93</v>
      </c>
      <c r="H153" s="408">
        <f>H52+H62+H65+H71+H101+H109+H152</f>
        <v>652685.3799999999</v>
      </c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</row>
    <row r="154" spans="2:52" ht="12.75" customHeight="1">
      <c r="B154" s="409"/>
      <c r="C154" s="410"/>
      <c r="D154" s="404"/>
      <c r="E154" s="404"/>
      <c r="F154" s="404"/>
      <c r="G154" s="404"/>
      <c r="H154" s="404"/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E154" s="386"/>
      <c r="AF154" s="386"/>
      <c r="AG154" s="386"/>
      <c r="AH154" s="386"/>
      <c r="AI154" s="386"/>
      <c r="AJ154" s="386"/>
      <c r="AK154" s="386"/>
      <c r="AL154" s="386"/>
      <c r="AM154" s="386"/>
      <c r="AN154" s="386"/>
      <c r="AO154" s="386"/>
      <c r="AP154" s="386"/>
      <c r="AQ154" s="386"/>
      <c r="AR154" s="386"/>
      <c r="AS154" s="386"/>
      <c r="AT154" s="386"/>
      <c r="AU154" s="386"/>
      <c r="AV154" s="386"/>
      <c r="AW154" s="386"/>
      <c r="AX154" s="386"/>
      <c r="AY154" s="386"/>
      <c r="AZ154" s="386"/>
    </row>
    <row r="155" spans="2:52" ht="12.75" customHeight="1">
      <c r="B155" s="409" t="s">
        <v>728</v>
      </c>
      <c r="C155" s="410"/>
      <c r="D155" s="404"/>
      <c r="E155" s="404"/>
      <c r="F155" s="404"/>
      <c r="G155" s="404"/>
      <c r="H155" s="404"/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U155" s="386"/>
      <c r="V155" s="386"/>
      <c r="W155" s="386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  <c r="AH155" s="386"/>
      <c r="AI155" s="386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6"/>
      <c r="AU155" s="386"/>
      <c r="AV155" s="386"/>
      <c r="AW155" s="386"/>
      <c r="AX155" s="386"/>
      <c r="AY155" s="386"/>
      <c r="AZ155" s="386"/>
    </row>
    <row r="156" spans="2:52" s="411" customFormat="1" ht="12.75" customHeight="1">
      <c r="B156" s="412" t="s">
        <v>729</v>
      </c>
      <c r="C156" s="410"/>
      <c r="D156" s="408">
        <f>D41-D153</f>
        <v>-40661.48000000045</v>
      </c>
      <c r="E156" s="408">
        <f>E41-E153</f>
        <v>575110.95</v>
      </c>
      <c r="F156" s="408">
        <f>F41-F153</f>
        <v>34003.08999999985</v>
      </c>
      <c r="G156" s="408">
        <f>G41-G153</f>
        <v>3068621.33</v>
      </c>
      <c r="H156" s="408">
        <f>H41-H153</f>
        <v>1945692.1</v>
      </c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</row>
    <row r="157" spans="2:52" ht="12.75" customHeight="1">
      <c r="B157" s="401"/>
      <c r="C157" s="402"/>
      <c r="D157" s="404"/>
      <c r="E157" s="404"/>
      <c r="F157" s="404"/>
      <c r="G157" s="404"/>
      <c r="H157" s="404"/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  <c r="S157" s="386"/>
      <c r="T157" s="386"/>
      <c r="U157" s="386"/>
      <c r="V157" s="386"/>
      <c r="W157" s="386"/>
      <c r="X157" s="386"/>
      <c r="Y157" s="386"/>
      <c r="Z157" s="386"/>
      <c r="AA157" s="386"/>
      <c r="AB157" s="386"/>
      <c r="AC157" s="386"/>
      <c r="AD157" s="386"/>
      <c r="AE157" s="386"/>
      <c r="AF157" s="386"/>
      <c r="AG157" s="386"/>
      <c r="AH157" s="386"/>
      <c r="AI157" s="386"/>
      <c r="AJ157" s="386"/>
      <c r="AK157" s="386"/>
      <c r="AL157" s="386"/>
      <c r="AM157" s="386"/>
      <c r="AN157" s="386"/>
      <c r="AO157" s="386"/>
      <c r="AP157" s="386"/>
      <c r="AQ157" s="386"/>
      <c r="AR157" s="386"/>
      <c r="AS157" s="386"/>
      <c r="AT157" s="386"/>
      <c r="AU157" s="386"/>
      <c r="AV157" s="386"/>
      <c r="AW157" s="386"/>
      <c r="AX157" s="386"/>
      <c r="AY157" s="386"/>
      <c r="AZ157" s="386"/>
    </row>
    <row r="158" spans="2:52" ht="12.75" customHeight="1">
      <c r="B158" s="409" t="s">
        <v>730</v>
      </c>
      <c r="C158" s="410"/>
      <c r="D158" s="404"/>
      <c r="E158" s="404"/>
      <c r="F158" s="404"/>
      <c r="G158" s="404"/>
      <c r="H158" s="404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6"/>
      <c r="AH158" s="386"/>
      <c r="AI158" s="386"/>
      <c r="AJ158" s="386"/>
      <c r="AK158" s="386"/>
      <c r="AL158" s="386"/>
      <c r="AM158" s="386"/>
      <c r="AN158" s="386"/>
      <c r="AO158" s="386"/>
      <c r="AP158" s="386"/>
      <c r="AQ158" s="386"/>
      <c r="AR158" s="386"/>
      <c r="AS158" s="386"/>
      <c r="AT158" s="386"/>
      <c r="AU158" s="386"/>
      <c r="AV158" s="386"/>
      <c r="AW158" s="386"/>
      <c r="AX158" s="386"/>
      <c r="AY158" s="386"/>
      <c r="AZ158" s="386"/>
    </row>
    <row r="159" spans="1:52" ht="12.75" customHeight="1">
      <c r="A159" s="386" t="s">
        <v>142</v>
      </c>
      <c r="B159" s="401" t="s">
        <v>731</v>
      </c>
      <c r="C159" s="402"/>
      <c r="D159" s="404">
        <v>0</v>
      </c>
      <c r="E159" s="404">
        <v>0</v>
      </c>
      <c r="F159" s="404">
        <v>0</v>
      </c>
      <c r="G159" s="404">
        <v>0</v>
      </c>
      <c r="H159" s="404">
        <v>0</v>
      </c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  <c r="AH159" s="386"/>
      <c r="AI159" s="386"/>
      <c r="AJ159" s="386"/>
      <c r="AK159" s="386"/>
      <c r="AL159" s="386"/>
      <c r="AM159" s="386"/>
      <c r="AN159" s="386"/>
      <c r="AO159" s="386"/>
      <c r="AP159" s="386"/>
      <c r="AQ159" s="386"/>
      <c r="AR159" s="386"/>
      <c r="AS159" s="386"/>
      <c r="AT159" s="386"/>
      <c r="AU159" s="386"/>
      <c r="AV159" s="386"/>
      <c r="AW159" s="386"/>
      <c r="AX159" s="386"/>
      <c r="AY159" s="386"/>
      <c r="AZ159" s="386"/>
    </row>
    <row r="160" spans="1:52" ht="12.75" customHeight="1">
      <c r="A160" s="386" t="s">
        <v>732</v>
      </c>
      <c r="B160" s="401" t="s">
        <v>733</v>
      </c>
      <c r="C160" s="402"/>
      <c r="D160" s="404">
        <v>0</v>
      </c>
      <c r="E160" s="404">
        <v>0</v>
      </c>
      <c r="F160" s="404">
        <v>0</v>
      </c>
      <c r="G160" s="404">
        <v>0</v>
      </c>
      <c r="H160" s="404">
        <v>0</v>
      </c>
      <c r="I160" s="386"/>
      <c r="J160" s="386"/>
      <c r="K160" s="386"/>
      <c r="L160" s="386"/>
      <c r="M160" s="386"/>
      <c r="N160" s="386"/>
      <c r="O160" s="386"/>
      <c r="P160" s="386"/>
      <c r="Q160" s="386"/>
      <c r="R160" s="386"/>
      <c r="S160" s="386"/>
      <c r="T160" s="386"/>
      <c r="U160" s="386"/>
      <c r="V160" s="386"/>
      <c r="W160" s="386"/>
      <c r="X160" s="386"/>
      <c r="Y160" s="386"/>
      <c r="Z160" s="386"/>
      <c r="AA160" s="386"/>
      <c r="AB160" s="386"/>
      <c r="AC160" s="386"/>
      <c r="AD160" s="386"/>
      <c r="AE160" s="386"/>
      <c r="AF160" s="386"/>
      <c r="AG160" s="386"/>
      <c r="AH160" s="386"/>
      <c r="AI160" s="386"/>
      <c r="AJ160" s="386"/>
      <c r="AK160" s="386"/>
      <c r="AL160" s="386"/>
      <c r="AM160" s="386"/>
      <c r="AN160" s="386"/>
      <c r="AO160" s="386"/>
      <c r="AP160" s="386"/>
      <c r="AQ160" s="386"/>
      <c r="AR160" s="386"/>
      <c r="AS160" s="386"/>
      <c r="AT160" s="386"/>
      <c r="AU160" s="386"/>
      <c r="AV160" s="386"/>
      <c r="AW160" s="386"/>
      <c r="AX160" s="386"/>
      <c r="AY160" s="386"/>
      <c r="AZ160" s="386"/>
    </row>
    <row r="161" spans="1:52" ht="12.75" customHeight="1">
      <c r="A161" s="386" t="s">
        <v>734</v>
      </c>
      <c r="B161" s="401" t="s">
        <v>735</v>
      </c>
      <c r="C161" s="402"/>
      <c r="D161" s="404">
        <v>0</v>
      </c>
      <c r="E161" s="404">
        <v>0</v>
      </c>
      <c r="F161" s="404">
        <v>0</v>
      </c>
      <c r="G161" s="404">
        <v>0</v>
      </c>
      <c r="H161" s="404">
        <v>0</v>
      </c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  <c r="W161" s="386"/>
      <c r="X161" s="386"/>
      <c r="Y161" s="386"/>
      <c r="Z161" s="386"/>
      <c r="AA161" s="386"/>
      <c r="AB161" s="386"/>
      <c r="AC161" s="386"/>
      <c r="AD161" s="386"/>
      <c r="AE161" s="386"/>
      <c r="AF161" s="386"/>
      <c r="AG161" s="386"/>
      <c r="AH161" s="386"/>
      <c r="AI161" s="386"/>
      <c r="AJ161" s="386"/>
      <c r="AK161" s="386"/>
      <c r="AL161" s="386"/>
      <c r="AM161" s="386"/>
      <c r="AN161" s="386"/>
      <c r="AO161" s="386"/>
      <c r="AP161" s="386"/>
      <c r="AQ161" s="386"/>
      <c r="AR161" s="386"/>
      <c r="AS161" s="386"/>
      <c r="AT161" s="386"/>
      <c r="AU161" s="386"/>
      <c r="AV161" s="386"/>
      <c r="AW161" s="386"/>
      <c r="AX161" s="386"/>
      <c r="AY161" s="386"/>
      <c r="AZ161" s="386"/>
    </row>
    <row r="162" spans="1:52" ht="12.75" customHeight="1">
      <c r="A162" s="386" t="s">
        <v>736</v>
      </c>
      <c r="B162" s="401" t="s">
        <v>737</v>
      </c>
      <c r="C162" s="402"/>
      <c r="D162" s="404">
        <v>0</v>
      </c>
      <c r="E162" s="404">
        <v>0</v>
      </c>
      <c r="F162" s="404">
        <v>0</v>
      </c>
      <c r="G162" s="404">
        <v>0</v>
      </c>
      <c r="H162" s="404">
        <v>0</v>
      </c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U162" s="386"/>
      <c r="V162" s="386"/>
      <c r="W162" s="386"/>
      <c r="X162" s="386"/>
      <c r="Y162" s="386"/>
      <c r="Z162" s="386"/>
      <c r="AA162" s="386"/>
      <c r="AB162" s="386"/>
      <c r="AC162" s="386"/>
      <c r="AD162" s="386"/>
      <c r="AE162" s="386"/>
      <c r="AF162" s="386"/>
      <c r="AG162" s="386"/>
      <c r="AH162" s="386"/>
      <c r="AI162" s="386"/>
      <c r="AJ162" s="386"/>
      <c r="AK162" s="386"/>
      <c r="AL162" s="386"/>
      <c r="AM162" s="386"/>
      <c r="AN162" s="386"/>
      <c r="AO162" s="386"/>
      <c r="AP162" s="386"/>
      <c r="AQ162" s="386"/>
      <c r="AR162" s="386"/>
      <c r="AS162" s="386"/>
      <c r="AT162" s="386"/>
      <c r="AU162" s="386"/>
      <c r="AV162" s="386"/>
      <c r="AW162" s="386"/>
      <c r="AX162" s="386"/>
      <c r="AY162" s="386"/>
      <c r="AZ162" s="386"/>
    </row>
    <row r="163" spans="1:52" s="374" customFormat="1" ht="38.25" hidden="1" outlineLevel="1">
      <c r="A163" s="374" t="s">
        <v>199</v>
      </c>
      <c r="B163" s="374" t="s">
        <v>200</v>
      </c>
      <c r="C163" s="375" t="s">
        <v>201</v>
      </c>
      <c r="D163" s="405">
        <v>0</v>
      </c>
      <c r="E163" s="405">
        <v>0</v>
      </c>
      <c r="F163" s="406">
        <v>0</v>
      </c>
      <c r="G163" s="406">
        <v>46139.28</v>
      </c>
      <c r="H163" s="406">
        <v>0</v>
      </c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77"/>
      <c r="AD163" s="377"/>
      <c r="AE163" s="377"/>
      <c r="AF163" s="377"/>
      <c r="AG163" s="377"/>
      <c r="AH163" s="377"/>
      <c r="AI163" s="377"/>
      <c r="AJ163" s="377"/>
      <c r="AK163" s="377"/>
      <c r="AL163" s="377"/>
      <c r="AM163" s="377"/>
      <c r="AN163" s="377"/>
      <c r="AO163" s="377"/>
      <c r="AP163" s="377"/>
      <c r="AQ163" s="377"/>
      <c r="AR163" s="377"/>
      <c r="AS163" s="377"/>
      <c r="AT163" s="377"/>
      <c r="AU163" s="377"/>
      <c r="AV163" s="377"/>
      <c r="AW163" s="377"/>
      <c r="AX163" s="377"/>
      <c r="AY163" s="377"/>
      <c r="AZ163" s="377"/>
    </row>
    <row r="164" spans="1:52" s="374" customFormat="1" ht="38.25" hidden="1" outlineLevel="1">
      <c r="A164" s="374" t="s">
        <v>202</v>
      </c>
      <c r="B164" s="374" t="s">
        <v>203</v>
      </c>
      <c r="C164" s="375" t="s">
        <v>204</v>
      </c>
      <c r="D164" s="405">
        <v>0</v>
      </c>
      <c r="E164" s="405">
        <v>236000</v>
      </c>
      <c r="F164" s="406">
        <v>-200000</v>
      </c>
      <c r="G164" s="406">
        <v>0</v>
      </c>
      <c r="H164" s="406">
        <v>74622</v>
      </c>
      <c r="I164" s="377"/>
      <c r="J164" s="377"/>
      <c r="K164" s="377"/>
      <c r="L164" s="377"/>
      <c r="M164" s="377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377"/>
      <c r="AB164" s="377"/>
      <c r="AC164" s="377"/>
      <c r="AD164" s="377"/>
      <c r="AE164" s="377"/>
      <c r="AF164" s="377"/>
      <c r="AG164" s="377"/>
      <c r="AH164" s="377"/>
      <c r="AI164" s="377"/>
      <c r="AJ164" s="377"/>
      <c r="AK164" s="377"/>
      <c r="AL164" s="377"/>
      <c r="AM164" s="377"/>
      <c r="AN164" s="377"/>
      <c r="AO164" s="377"/>
      <c r="AP164" s="377"/>
      <c r="AQ164" s="377"/>
      <c r="AR164" s="377"/>
      <c r="AS164" s="377"/>
      <c r="AT164" s="377"/>
      <c r="AU164" s="377"/>
      <c r="AV164" s="377"/>
      <c r="AW164" s="377"/>
      <c r="AX164" s="377"/>
      <c r="AY164" s="377"/>
      <c r="AZ164" s="377"/>
    </row>
    <row r="165" spans="1:52" s="374" customFormat="1" ht="38.25" hidden="1" outlineLevel="1">
      <c r="A165" s="374" t="s">
        <v>1360</v>
      </c>
      <c r="B165" s="374" t="s">
        <v>1361</v>
      </c>
      <c r="C165" s="375" t="s">
        <v>1362</v>
      </c>
      <c r="D165" s="405">
        <v>0</v>
      </c>
      <c r="E165" s="405">
        <v>20000</v>
      </c>
      <c r="F165" s="406">
        <v>80281.64</v>
      </c>
      <c r="G165" s="406">
        <v>286587.47</v>
      </c>
      <c r="H165" s="406">
        <v>419737.36</v>
      </c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377"/>
      <c r="AB165" s="377"/>
      <c r="AC165" s="377"/>
      <c r="AD165" s="377"/>
      <c r="AE165" s="377"/>
      <c r="AF165" s="377"/>
      <c r="AG165" s="377"/>
      <c r="AH165" s="377"/>
      <c r="AI165" s="377"/>
      <c r="AJ165" s="377"/>
      <c r="AK165" s="377"/>
      <c r="AL165" s="377"/>
      <c r="AM165" s="377"/>
      <c r="AN165" s="377"/>
      <c r="AO165" s="377"/>
      <c r="AP165" s="377"/>
      <c r="AQ165" s="377"/>
      <c r="AR165" s="377"/>
      <c r="AS165" s="377"/>
      <c r="AT165" s="377"/>
      <c r="AU165" s="377"/>
      <c r="AV165" s="377"/>
      <c r="AW165" s="377"/>
      <c r="AX165" s="377"/>
      <c r="AY165" s="377"/>
      <c r="AZ165" s="377"/>
    </row>
    <row r="166" spans="1:52" s="374" customFormat="1" ht="38.25" hidden="1" outlineLevel="1">
      <c r="A166" s="374" t="s">
        <v>186</v>
      </c>
      <c r="B166" s="374" t="s">
        <v>187</v>
      </c>
      <c r="C166" s="375" t="s">
        <v>188</v>
      </c>
      <c r="D166" s="405">
        <v>0</v>
      </c>
      <c r="E166" s="405">
        <v>-276312</v>
      </c>
      <c r="F166" s="406">
        <v>0</v>
      </c>
      <c r="G166" s="406">
        <v>-1770476</v>
      </c>
      <c r="H166" s="406">
        <v>-1750452</v>
      </c>
      <c r="I166" s="377"/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  <c r="AG166" s="377"/>
      <c r="AH166" s="377"/>
      <c r="AI166" s="377"/>
      <c r="AJ166" s="377"/>
      <c r="AK166" s="377"/>
      <c r="AL166" s="377"/>
      <c r="AM166" s="377"/>
      <c r="AN166" s="377"/>
      <c r="AO166" s="377"/>
      <c r="AP166" s="377"/>
      <c r="AQ166" s="377"/>
      <c r="AR166" s="377"/>
      <c r="AS166" s="377"/>
      <c r="AT166" s="377"/>
      <c r="AU166" s="377"/>
      <c r="AV166" s="377"/>
      <c r="AW166" s="377"/>
      <c r="AX166" s="377"/>
      <c r="AY166" s="377"/>
      <c r="AZ166" s="377"/>
    </row>
    <row r="167" spans="1:52" s="374" customFormat="1" ht="38.25" hidden="1" outlineLevel="1">
      <c r="A167" s="374" t="s">
        <v>208</v>
      </c>
      <c r="B167" s="374" t="s">
        <v>209</v>
      </c>
      <c r="C167" s="375" t="s">
        <v>210</v>
      </c>
      <c r="D167" s="405">
        <v>0</v>
      </c>
      <c r="E167" s="405">
        <v>-58470.08</v>
      </c>
      <c r="F167" s="406">
        <v>0</v>
      </c>
      <c r="G167" s="406">
        <v>0</v>
      </c>
      <c r="H167" s="406">
        <v>0</v>
      </c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  <c r="AL167" s="377"/>
      <c r="AM167" s="377"/>
      <c r="AN167" s="377"/>
      <c r="AO167" s="377"/>
      <c r="AP167" s="377"/>
      <c r="AQ167" s="377"/>
      <c r="AR167" s="377"/>
      <c r="AS167" s="377"/>
      <c r="AT167" s="377"/>
      <c r="AU167" s="377"/>
      <c r="AV167" s="377"/>
      <c r="AW167" s="377"/>
      <c r="AX167" s="377"/>
      <c r="AY167" s="377"/>
      <c r="AZ167" s="377"/>
    </row>
    <row r="168" spans="1:52" s="374" customFormat="1" ht="38.25" hidden="1" outlineLevel="1">
      <c r="A168" s="374" t="s">
        <v>211</v>
      </c>
      <c r="B168" s="374" t="s">
        <v>1351</v>
      </c>
      <c r="C168" s="375" t="s">
        <v>1352</v>
      </c>
      <c r="D168" s="405">
        <v>0</v>
      </c>
      <c r="E168" s="405">
        <v>-475194.12</v>
      </c>
      <c r="F168" s="406">
        <v>-33996</v>
      </c>
      <c r="G168" s="406">
        <v>-369000</v>
      </c>
      <c r="H168" s="406">
        <v>-456163.11</v>
      </c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  <c r="AG168" s="377"/>
      <c r="AH168" s="377"/>
      <c r="AI168" s="377"/>
      <c r="AJ168" s="377"/>
      <c r="AK168" s="377"/>
      <c r="AL168" s="377"/>
      <c r="AM168" s="377"/>
      <c r="AN168" s="377"/>
      <c r="AO168" s="377"/>
      <c r="AP168" s="377"/>
      <c r="AQ168" s="377"/>
      <c r="AR168" s="377"/>
      <c r="AS168" s="377"/>
      <c r="AT168" s="377"/>
      <c r="AU168" s="377"/>
      <c r="AV168" s="377"/>
      <c r="AW168" s="377"/>
      <c r="AX168" s="377"/>
      <c r="AY168" s="377"/>
      <c r="AZ168" s="377"/>
    </row>
    <row r="169" spans="1:52" s="374" customFormat="1" ht="38.25" hidden="1" outlineLevel="1">
      <c r="A169" s="374" t="s">
        <v>1353</v>
      </c>
      <c r="B169" s="374" t="s">
        <v>1354</v>
      </c>
      <c r="C169" s="375" t="s">
        <v>1355</v>
      </c>
      <c r="D169" s="405">
        <v>0</v>
      </c>
      <c r="E169" s="405">
        <v>0</v>
      </c>
      <c r="F169" s="406">
        <v>-59710.65</v>
      </c>
      <c r="G169" s="406">
        <v>-1300000</v>
      </c>
      <c r="H169" s="406">
        <v>-375000</v>
      </c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  <c r="AG169" s="377"/>
      <c r="AH169" s="377"/>
      <c r="AI169" s="377"/>
      <c r="AJ169" s="377"/>
      <c r="AK169" s="377"/>
      <c r="AL169" s="377"/>
      <c r="AM169" s="377"/>
      <c r="AN169" s="377"/>
      <c r="AO169" s="377"/>
      <c r="AP169" s="377"/>
      <c r="AQ169" s="377"/>
      <c r="AR169" s="377"/>
      <c r="AS169" s="377"/>
      <c r="AT169" s="377"/>
      <c r="AU169" s="377"/>
      <c r="AV169" s="377"/>
      <c r="AW169" s="377"/>
      <c r="AX169" s="377"/>
      <c r="AY169" s="377"/>
      <c r="AZ169" s="377"/>
    </row>
    <row r="170" spans="1:52" s="374" customFormat="1" ht="38.25" hidden="1" outlineLevel="1">
      <c r="A170" s="374" t="s">
        <v>1375</v>
      </c>
      <c r="B170" s="374" t="s">
        <v>1376</v>
      </c>
      <c r="C170" s="375" t="s">
        <v>1377</v>
      </c>
      <c r="D170" s="405">
        <v>0</v>
      </c>
      <c r="E170" s="405">
        <v>0</v>
      </c>
      <c r="F170" s="406">
        <v>49640.03</v>
      </c>
      <c r="G170" s="406">
        <v>0</v>
      </c>
      <c r="H170" s="406">
        <v>0</v>
      </c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377"/>
      <c r="AB170" s="377"/>
      <c r="AC170" s="377"/>
      <c r="AD170" s="377"/>
      <c r="AE170" s="377"/>
      <c r="AF170" s="377"/>
      <c r="AG170" s="377"/>
      <c r="AH170" s="377"/>
      <c r="AI170" s="377"/>
      <c r="AJ170" s="377"/>
      <c r="AK170" s="377"/>
      <c r="AL170" s="377"/>
      <c r="AM170" s="377"/>
      <c r="AN170" s="377"/>
      <c r="AO170" s="377"/>
      <c r="AP170" s="377"/>
      <c r="AQ170" s="377"/>
      <c r="AR170" s="377"/>
      <c r="AS170" s="377"/>
      <c r="AT170" s="377"/>
      <c r="AU170" s="377"/>
      <c r="AV170" s="377"/>
      <c r="AW170" s="377"/>
      <c r="AX170" s="377"/>
      <c r="AY170" s="377"/>
      <c r="AZ170" s="377"/>
    </row>
    <row r="171" spans="1:52" ht="12.75" customHeight="1" collapsed="1">
      <c r="A171" s="386" t="s">
        <v>738</v>
      </c>
      <c r="B171" s="401" t="s">
        <v>739</v>
      </c>
      <c r="C171" s="402"/>
      <c r="D171" s="404">
        <v>0</v>
      </c>
      <c r="E171" s="404">
        <v>-553976.2</v>
      </c>
      <c r="F171" s="404">
        <v>-163784.98</v>
      </c>
      <c r="G171" s="404">
        <v>-3106749.25</v>
      </c>
      <c r="H171" s="404">
        <v>-2087255.75</v>
      </c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6"/>
      <c r="AA171" s="386"/>
      <c r="AB171" s="386"/>
      <c r="AC171" s="386"/>
      <c r="AD171" s="386"/>
      <c r="AE171" s="386"/>
      <c r="AF171" s="386"/>
      <c r="AG171" s="386"/>
      <c r="AH171" s="386"/>
      <c r="AI171" s="386"/>
      <c r="AJ171" s="386"/>
      <c r="AK171" s="386"/>
      <c r="AL171" s="386"/>
      <c r="AM171" s="386"/>
      <c r="AN171" s="386"/>
      <c r="AO171" s="386"/>
      <c r="AP171" s="386"/>
      <c r="AQ171" s="386"/>
      <c r="AR171" s="386"/>
      <c r="AS171" s="386"/>
      <c r="AT171" s="386"/>
      <c r="AU171" s="386"/>
      <c r="AV171" s="386"/>
      <c r="AW171" s="386"/>
      <c r="AX171" s="386"/>
      <c r="AY171" s="386"/>
      <c r="AZ171" s="386"/>
    </row>
    <row r="172" spans="2:52" ht="12.75" customHeight="1">
      <c r="B172" s="398" t="s">
        <v>740</v>
      </c>
      <c r="C172" s="402"/>
      <c r="D172" s="404"/>
      <c r="E172" s="404"/>
      <c r="F172" s="404"/>
      <c r="G172" s="404"/>
      <c r="H172" s="404"/>
      <c r="I172" s="386"/>
      <c r="J172" s="386"/>
      <c r="K172" s="386"/>
      <c r="L172" s="386"/>
      <c r="M172" s="386"/>
      <c r="N172" s="386"/>
      <c r="O172" s="386"/>
      <c r="P172" s="386"/>
      <c r="Q172" s="386"/>
      <c r="R172" s="386"/>
      <c r="S172" s="386"/>
      <c r="T172" s="386"/>
      <c r="U172" s="386"/>
      <c r="V172" s="386"/>
      <c r="W172" s="386"/>
      <c r="X172" s="386"/>
      <c r="Y172" s="386"/>
      <c r="Z172" s="386"/>
      <c r="AA172" s="386"/>
      <c r="AB172" s="386"/>
      <c r="AC172" s="386"/>
      <c r="AD172" s="386"/>
      <c r="AE172" s="386"/>
      <c r="AF172" s="386"/>
      <c r="AG172" s="386"/>
      <c r="AH172" s="386"/>
      <c r="AI172" s="386"/>
      <c r="AJ172" s="386"/>
      <c r="AK172" s="386"/>
      <c r="AL172" s="386"/>
      <c r="AM172" s="386"/>
      <c r="AN172" s="386"/>
      <c r="AO172" s="386"/>
      <c r="AP172" s="386"/>
      <c r="AQ172" s="386"/>
      <c r="AR172" s="386"/>
      <c r="AS172" s="386"/>
      <c r="AT172" s="386"/>
      <c r="AU172" s="386"/>
      <c r="AV172" s="386"/>
      <c r="AW172" s="386"/>
      <c r="AX172" s="386"/>
      <c r="AY172" s="386"/>
      <c r="AZ172" s="386"/>
    </row>
    <row r="173" spans="2:52" s="411" customFormat="1" ht="12.75" customHeight="1">
      <c r="B173" s="398" t="s">
        <v>741</v>
      </c>
      <c r="C173" s="399"/>
      <c r="D173" s="408">
        <f>D159+D160+D161+D162+D171</f>
        <v>0</v>
      </c>
      <c r="E173" s="408">
        <f>E159+E160+E161+E162+E171</f>
        <v>-553976.2</v>
      </c>
      <c r="F173" s="408">
        <f>F159+F160+F161+F162+F171</f>
        <v>-163784.98</v>
      </c>
      <c r="G173" s="408">
        <f>G159+G160+G161+G162+G171</f>
        <v>-3106749.25</v>
      </c>
      <c r="H173" s="408">
        <f>H159+H160+H161+H162+H171</f>
        <v>-2087255.75</v>
      </c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386"/>
      <c r="AM173" s="386"/>
      <c r="AN173" s="386"/>
      <c r="AO173" s="386"/>
      <c r="AP173" s="386"/>
      <c r="AQ173" s="386"/>
      <c r="AR173" s="386"/>
      <c r="AS173" s="386"/>
      <c r="AT173" s="386"/>
      <c r="AU173" s="386"/>
      <c r="AV173" s="386"/>
      <c r="AW173" s="386"/>
      <c r="AX173" s="386"/>
      <c r="AY173" s="386"/>
      <c r="AZ173" s="386"/>
    </row>
    <row r="174" spans="2:52" ht="12.75" customHeight="1">
      <c r="B174" s="401"/>
      <c r="C174" s="402"/>
      <c r="D174" s="404"/>
      <c r="E174" s="404"/>
      <c r="F174" s="404"/>
      <c r="G174" s="404"/>
      <c r="H174" s="404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6"/>
      <c r="AA174" s="386"/>
      <c r="AB174" s="386"/>
      <c r="AC174" s="386"/>
      <c r="AD174" s="386"/>
      <c r="AE174" s="386"/>
      <c r="AF174" s="386"/>
      <c r="AG174" s="386"/>
      <c r="AH174" s="386"/>
      <c r="AI174" s="386"/>
      <c r="AJ174" s="386"/>
      <c r="AK174" s="386"/>
      <c r="AL174" s="386"/>
      <c r="AM174" s="386"/>
      <c r="AN174" s="386"/>
      <c r="AO174" s="386"/>
      <c r="AP174" s="386"/>
      <c r="AQ174" s="386"/>
      <c r="AR174" s="386"/>
      <c r="AS174" s="386"/>
      <c r="AT174" s="386"/>
      <c r="AU174" s="386"/>
      <c r="AV174" s="386"/>
      <c r="AW174" s="386"/>
      <c r="AX174" s="386"/>
      <c r="AY174" s="386"/>
      <c r="AZ174" s="386"/>
    </row>
    <row r="175" spans="2:52" s="411" customFormat="1" ht="12.75" customHeight="1">
      <c r="B175" s="409" t="s">
        <v>742</v>
      </c>
      <c r="C175" s="410"/>
      <c r="D175" s="408">
        <f>D156+D173</f>
        <v>-40661.48000000045</v>
      </c>
      <c r="E175" s="408">
        <f>E156+E173</f>
        <v>21134.75</v>
      </c>
      <c r="F175" s="408">
        <f>F156+F173</f>
        <v>-129781.89000000016</v>
      </c>
      <c r="G175" s="408">
        <f>G156+G173</f>
        <v>-38127.919999999925</v>
      </c>
      <c r="H175" s="408">
        <f>H156+H173</f>
        <v>-141563.6499999999</v>
      </c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386"/>
      <c r="AM175" s="386"/>
      <c r="AN175" s="386"/>
      <c r="AO175" s="386"/>
      <c r="AP175" s="386"/>
      <c r="AQ175" s="386"/>
      <c r="AR175" s="386"/>
      <c r="AS175" s="386"/>
      <c r="AT175" s="386"/>
      <c r="AU175" s="386"/>
      <c r="AV175" s="386"/>
      <c r="AW175" s="386"/>
      <c r="AX175" s="386"/>
      <c r="AY175" s="386"/>
      <c r="AZ175" s="386"/>
    </row>
    <row r="176" spans="2:52" ht="12.75" customHeight="1">
      <c r="B176" s="401"/>
      <c r="C176" s="402"/>
      <c r="D176" s="404"/>
      <c r="E176" s="404"/>
      <c r="F176" s="404"/>
      <c r="G176" s="404"/>
      <c r="H176" s="404"/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6"/>
      <c r="Z176" s="386"/>
      <c r="AA176" s="386"/>
      <c r="AB176" s="386"/>
      <c r="AC176" s="386"/>
      <c r="AD176" s="386"/>
      <c r="AE176" s="386"/>
      <c r="AF176" s="386"/>
      <c r="AG176" s="386"/>
      <c r="AH176" s="386"/>
      <c r="AI176" s="386"/>
      <c r="AJ176" s="386"/>
      <c r="AK176" s="386"/>
      <c r="AL176" s="386"/>
      <c r="AM176" s="386"/>
      <c r="AN176" s="386"/>
      <c r="AO176" s="386"/>
      <c r="AP176" s="386"/>
      <c r="AQ176" s="386"/>
      <c r="AR176" s="386"/>
      <c r="AS176" s="386"/>
      <c r="AT176" s="386"/>
      <c r="AU176" s="386"/>
      <c r="AV176" s="386"/>
      <c r="AW176" s="386"/>
      <c r="AX176" s="386"/>
      <c r="AY176" s="386"/>
      <c r="AZ176" s="386"/>
    </row>
    <row r="177" spans="1:52" s="374" customFormat="1" ht="38.25" hidden="1" outlineLevel="1">
      <c r="A177" s="374" t="s">
        <v>1386</v>
      </c>
      <c r="B177" s="374" t="s">
        <v>1387</v>
      </c>
      <c r="C177" s="375" t="s">
        <v>1388</v>
      </c>
      <c r="D177" s="405">
        <v>207138.85</v>
      </c>
      <c r="E177" s="405">
        <v>-17032.36</v>
      </c>
      <c r="F177" s="406">
        <v>181411.67</v>
      </c>
      <c r="G177" s="406">
        <v>253138.72</v>
      </c>
      <c r="H177" s="406">
        <v>480785.21</v>
      </c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  <c r="W177" s="377"/>
      <c r="X177" s="377"/>
      <c r="Y177" s="377"/>
      <c r="Z177" s="377"/>
      <c r="AA177" s="377"/>
      <c r="AB177" s="377"/>
      <c r="AC177" s="377"/>
      <c r="AD177" s="377"/>
      <c r="AE177" s="377"/>
      <c r="AF177" s="377"/>
      <c r="AG177" s="377"/>
      <c r="AH177" s="377"/>
      <c r="AI177" s="377"/>
      <c r="AJ177" s="377"/>
      <c r="AK177" s="377"/>
      <c r="AL177" s="377"/>
      <c r="AM177" s="377"/>
      <c r="AN177" s="377"/>
      <c r="AO177" s="377"/>
      <c r="AP177" s="377"/>
      <c r="AQ177" s="377"/>
      <c r="AR177" s="377"/>
      <c r="AS177" s="377"/>
      <c r="AT177" s="377"/>
      <c r="AU177" s="377"/>
      <c r="AV177" s="377"/>
      <c r="AW177" s="377"/>
      <c r="AX177" s="377"/>
      <c r="AY177" s="377"/>
      <c r="AZ177" s="377"/>
    </row>
    <row r="178" spans="1:9" s="377" customFormat="1" ht="12.75" customHeight="1" collapsed="1">
      <c r="A178" s="413" t="s">
        <v>1389</v>
      </c>
      <c r="B178" s="23" t="s">
        <v>1584</v>
      </c>
      <c r="C178" s="74"/>
      <c r="D178" s="40">
        <v>207138.85</v>
      </c>
      <c r="E178" s="40">
        <v>-17032.36</v>
      </c>
      <c r="F178" s="40">
        <v>181411.67</v>
      </c>
      <c r="G178" s="40">
        <v>253138.72</v>
      </c>
      <c r="H178" s="40">
        <v>480785.21</v>
      </c>
      <c r="I178" s="414"/>
    </row>
    <row r="179" spans="1:9" s="377" customFormat="1" ht="12.75" customHeight="1">
      <c r="A179" s="413"/>
      <c r="B179" s="23"/>
      <c r="C179" s="74"/>
      <c r="D179" s="40"/>
      <c r="E179" s="40"/>
      <c r="F179" s="40"/>
      <c r="G179" s="40"/>
      <c r="H179" s="40"/>
      <c r="I179" s="414"/>
    </row>
    <row r="180" spans="1:9" s="377" customFormat="1" ht="12.75" customHeight="1">
      <c r="A180" s="413"/>
      <c r="B180" s="23" t="s">
        <v>1585</v>
      </c>
      <c r="C180" s="74"/>
      <c r="D180" s="415">
        <f>D175+D178</f>
        <v>166477.36999999956</v>
      </c>
      <c r="E180" s="415">
        <f>E175+E178</f>
        <v>4102.389999999999</v>
      </c>
      <c r="F180" s="415">
        <f>F175+F178</f>
        <v>51629.77999999985</v>
      </c>
      <c r="G180" s="415">
        <f>G175+G178</f>
        <v>215010.80000000008</v>
      </c>
      <c r="H180" s="415">
        <f>H175+H178</f>
        <v>339221.5600000001</v>
      </c>
      <c r="I180" s="414"/>
    </row>
    <row r="181" spans="3:9" s="377" customFormat="1" ht="12.75">
      <c r="C181" s="416"/>
      <c r="D181" s="417"/>
      <c r="E181" s="417"/>
      <c r="F181" s="417"/>
      <c r="G181" s="417"/>
      <c r="H181" s="417"/>
      <c r="I181" s="418"/>
    </row>
    <row r="182" spans="3:8" s="377" customFormat="1" ht="12.75">
      <c r="C182" s="416"/>
      <c r="D182" s="386"/>
      <c r="E182" s="386"/>
      <c r="F182" s="386"/>
      <c r="G182" s="386"/>
      <c r="H182" s="386"/>
    </row>
    <row r="183" spans="3:8" s="377" customFormat="1" ht="12.75">
      <c r="C183" s="416"/>
      <c r="D183" s="386"/>
      <c r="E183" s="386"/>
      <c r="F183" s="386"/>
      <c r="G183" s="386"/>
      <c r="H183" s="386"/>
    </row>
    <row r="184" spans="3:8" s="377" customFormat="1" ht="12.75">
      <c r="C184" s="416"/>
      <c r="D184" s="386"/>
      <c r="E184" s="386"/>
      <c r="F184" s="386"/>
      <c r="G184" s="386"/>
      <c r="H184" s="386"/>
    </row>
    <row r="185" spans="3:8" s="377" customFormat="1" ht="12.75">
      <c r="C185" s="416"/>
      <c r="D185" s="386"/>
      <c r="E185" s="386"/>
      <c r="F185" s="386"/>
      <c r="G185" s="386"/>
      <c r="H185" s="386"/>
    </row>
    <row r="186" spans="3:8" s="377" customFormat="1" ht="12.75">
      <c r="C186" s="416"/>
      <c r="D186" s="386"/>
      <c r="E186" s="386"/>
      <c r="F186" s="386"/>
      <c r="G186" s="386"/>
      <c r="H186" s="386"/>
    </row>
    <row r="187" spans="3:8" s="377" customFormat="1" ht="12.75">
      <c r="C187" s="416"/>
      <c r="D187" s="386"/>
      <c r="E187" s="386"/>
      <c r="F187" s="386"/>
      <c r="G187" s="386"/>
      <c r="H187" s="386"/>
    </row>
    <row r="188" spans="3:8" s="377" customFormat="1" ht="12.75">
      <c r="C188" s="416"/>
      <c r="D188" s="386"/>
      <c r="E188" s="386"/>
      <c r="F188" s="386"/>
      <c r="G188" s="386"/>
      <c r="H188" s="386"/>
    </row>
    <row r="189" spans="3:8" s="377" customFormat="1" ht="12.75">
      <c r="C189" s="416"/>
      <c r="D189" s="386"/>
      <c r="E189" s="386"/>
      <c r="F189" s="386"/>
      <c r="G189" s="386"/>
      <c r="H189" s="386"/>
    </row>
    <row r="190" spans="3:8" s="377" customFormat="1" ht="12.75">
      <c r="C190" s="416"/>
      <c r="D190" s="386"/>
      <c r="E190" s="386"/>
      <c r="F190" s="386"/>
      <c r="G190" s="386"/>
      <c r="H190" s="386"/>
    </row>
    <row r="191" spans="3:8" s="377" customFormat="1" ht="12.75">
      <c r="C191" s="416"/>
      <c r="D191" s="386"/>
      <c r="E191" s="386"/>
      <c r="F191" s="386"/>
      <c r="G191" s="386"/>
      <c r="H191" s="386"/>
    </row>
    <row r="192" spans="3:8" s="377" customFormat="1" ht="12.75">
      <c r="C192" s="416"/>
      <c r="D192" s="386"/>
      <c r="E192" s="386"/>
      <c r="F192" s="386"/>
      <c r="G192" s="386"/>
      <c r="H192" s="386"/>
    </row>
    <row r="193" spans="3:8" s="377" customFormat="1" ht="12.75">
      <c r="C193" s="416"/>
      <c r="D193" s="386"/>
      <c r="E193" s="386"/>
      <c r="F193" s="386"/>
      <c r="G193" s="386"/>
      <c r="H193" s="386"/>
    </row>
    <row r="194" spans="3:8" s="377" customFormat="1" ht="12.75">
      <c r="C194" s="416"/>
      <c r="D194" s="386"/>
      <c r="E194" s="386"/>
      <c r="F194" s="386"/>
      <c r="G194" s="386"/>
      <c r="H194" s="386"/>
    </row>
    <row r="195" spans="3:8" s="377" customFormat="1" ht="12.75">
      <c r="C195" s="416"/>
      <c r="D195" s="386"/>
      <c r="E195" s="386"/>
      <c r="F195" s="386"/>
      <c r="G195" s="386"/>
      <c r="H195" s="386"/>
    </row>
    <row r="196" spans="3:8" s="377" customFormat="1" ht="12.75">
      <c r="C196" s="416"/>
      <c r="D196" s="386"/>
      <c r="E196" s="386"/>
      <c r="F196" s="386"/>
      <c r="G196" s="386"/>
      <c r="H196" s="386"/>
    </row>
    <row r="197" spans="3:8" s="377" customFormat="1" ht="12.75">
      <c r="C197" s="416"/>
      <c r="D197" s="386"/>
      <c r="E197" s="386"/>
      <c r="F197" s="386"/>
      <c r="G197" s="386"/>
      <c r="H197" s="386"/>
    </row>
    <row r="198" spans="3:8" s="377" customFormat="1" ht="12.75">
      <c r="C198" s="416"/>
      <c r="D198" s="386"/>
      <c r="E198" s="386"/>
      <c r="F198" s="386"/>
      <c r="G198" s="386"/>
      <c r="H198" s="386"/>
    </row>
    <row r="199" spans="3:8" s="377" customFormat="1" ht="12.75">
      <c r="C199" s="416"/>
      <c r="D199" s="386"/>
      <c r="E199" s="386"/>
      <c r="F199" s="386"/>
      <c r="G199" s="386"/>
      <c r="H199" s="386"/>
    </row>
    <row r="200" spans="3:8" s="377" customFormat="1" ht="12.75">
      <c r="C200" s="416"/>
      <c r="D200" s="386"/>
      <c r="E200" s="386"/>
      <c r="F200" s="386"/>
      <c r="G200" s="386"/>
      <c r="H200" s="386"/>
    </row>
    <row r="201" spans="3:8" s="377" customFormat="1" ht="12.75">
      <c r="C201" s="416"/>
      <c r="D201" s="386"/>
      <c r="E201" s="386"/>
      <c r="F201" s="386"/>
      <c r="G201" s="386"/>
      <c r="H201" s="386"/>
    </row>
    <row r="202" spans="3:8" s="377" customFormat="1" ht="12.75">
      <c r="C202" s="416"/>
      <c r="D202" s="386"/>
      <c r="E202" s="386"/>
      <c r="F202" s="386"/>
      <c r="G202" s="386"/>
      <c r="H202" s="386"/>
    </row>
    <row r="203" spans="3:8" s="377" customFormat="1" ht="12.75">
      <c r="C203" s="416"/>
      <c r="D203" s="386"/>
      <c r="E203" s="386"/>
      <c r="F203" s="386"/>
      <c r="G203" s="386"/>
      <c r="H203" s="386"/>
    </row>
    <row r="204" spans="3:8" s="377" customFormat="1" ht="12.75">
      <c r="C204" s="416"/>
      <c r="D204" s="386"/>
      <c r="E204" s="386"/>
      <c r="F204" s="386"/>
      <c r="G204" s="386"/>
      <c r="H204" s="386"/>
    </row>
    <row r="205" spans="3:8" s="377" customFormat="1" ht="12.75">
      <c r="C205" s="416"/>
      <c r="D205" s="386"/>
      <c r="E205" s="386"/>
      <c r="F205" s="386"/>
      <c r="G205" s="386"/>
      <c r="H205" s="386"/>
    </row>
    <row r="206" spans="3:8" s="377" customFormat="1" ht="12.75">
      <c r="C206" s="416"/>
      <c r="D206" s="386"/>
      <c r="E206" s="386"/>
      <c r="F206" s="386"/>
      <c r="G206" s="386"/>
      <c r="H206" s="386"/>
    </row>
    <row r="207" spans="3:8" s="377" customFormat="1" ht="12.75">
      <c r="C207" s="416"/>
      <c r="D207" s="386"/>
      <c r="E207" s="386"/>
      <c r="F207" s="386"/>
      <c r="G207" s="386"/>
      <c r="H207" s="386"/>
    </row>
    <row r="208" spans="3:8" s="377" customFormat="1" ht="12.75">
      <c r="C208" s="416"/>
      <c r="D208" s="386"/>
      <c r="E208" s="386"/>
      <c r="F208" s="386"/>
      <c r="G208" s="386"/>
      <c r="H208" s="386"/>
    </row>
    <row r="209" spans="3:8" s="377" customFormat="1" ht="12.75">
      <c r="C209" s="416"/>
      <c r="D209" s="386"/>
      <c r="E209" s="386"/>
      <c r="F209" s="386"/>
      <c r="G209" s="386"/>
      <c r="H209" s="386"/>
    </row>
    <row r="210" spans="3:8" s="377" customFormat="1" ht="12.75">
      <c r="C210" s="416"/>
      <c r="D210" s="386"/>
      <c r="E210" s="386"/>
      <c r="F210" s="386"/>
      <c r="G210" s="386"/>
      <c r="H210" s="386"/>
    </row>
    <row r="211" spans="3:8" s="377" customFormat="1" ht="12.75">
      <c r="C211" s="416"/>
      <c r="D211" s="386"/>
      <c r="E211" s="386"/>
      <c r="F211" s="386"/>
      <c r="G211" s="386"/>
      <c r="H211" s="386"/>
    </row>
    <row r="212" spans="3:8" s="377" customFormat="1" ht="12.75">
      <c r="C212" s="416"/>
      <c r="D212" s="386"/>
      <c r="E212" s="386"/>
      <c r="F212" s="386"/>
      <c r="G212" s="386"/>
      <c r="H212" s="386"/>
    </row>
    <row r="213" spans="3:8" s="377" customFormat="1" ht="12.75">
      <c r="C213" s="416"/>
      <c r="D213" s="386"/>
      <c r="E213" s="386"/>
      <c r="F213" s="386"/>
      <c r="G213" s="386"/>
      <c r="H213" s="386"/>
    </row>
    <row r="214" spans="3:8" s="377" customFormat="1" ht="12.75">
      <c r="C214" s="416"/>
      <c r="D214" s="386"/>
      <c r="E214" s="386"/>
      <c r="F214" s="386"/>
      <c r="G214" s="386"/>
      <c r="H214" s="386"/>
    </row>
    <row r="215" spans="3:8" s="377" customFormat="1" ht="12.75">
      <c r="C215" s="416"/>
      <c r="D215" s="386"/>
      <c r="E215" s="386"/>
      <c r="F215" s="386"/>
      <c r="G215" s="386"/>
      <c r="H215" s="386"/>
    </row>
    <row r="216" spans="3:8" s="377" customFormat="1" ht="12.75">
      <c r="C216" s="416"/>
      <c r="D216" s="386"/>
      <c r="E216" s="386"/>
      <c r="F216" s="386"/>
      <c r="G216" s="386"/>
      <c r="H216" s="386"/>
    </row>
    <row r="217" spans="3:8" s="377" customFormat="1" ht="12.75">
      <c r="C217" s="416"/>
      <c r="D217" s="386"/>
      <c r="E217" s="386"/>
      <c r="F217" s="386"/>
      <c r="G217" s="386"/>
      <c r="H217" s="386"/>
    </row>
    <row r="218" spans="3:8" s="377" customFormat="1" ht="12.75">
      <c r="C218" s="416"/>
      <c r="D218" s="386"/>
      <c r="E218" s="386"/>
      <c r="F218" s="386"/>
      <c r="G218" s="386"/>
      <c r="H218" s="386"/>
    </row>
    <row r="219" spans="3:8" s="377" customFormat="1" ht="12.75">
      <c r="C219" s="416"/>
      <c r="D219" s="386"/>
      <c r="E219" s="386"/>
      <c r="F219" s="386"/>
      <c r="G219" s="386"/>
      <c r="H219" s="386"/>
    </row>
    <row r="220" spans="3:8" s="377" customFormat="1" ht="12.75">
      <c r="C220" s="416"/>
      <c r="D220" s="386"/>
      <c r="E220" s="386"/>
      <c r="F220" s="386"/>
      <c r="G220" s="386"/>
      <c r="H220" s="386"/>
    </row>
    <row r="221" spans="3:8" s="377" customFormat="1" ht="12.75">
      <c r="C221" s="416"/>
      <c r="D221" s="386"/>
      <c r="E221" s="386"/>
      <c r="F221" s="386"/>
      <c r="G221" s="386"/>
      <c r="H221" s="386"/>
    </row>
    <row r="222" spans="3:8" s="377" customFormat="1" ht="12.75">
      <c r="C222" s="416"/>
      <c r="D222" s="386"/>
      <c r="E222" s="386"/>
      <c r="F222" s="386"/>
      <c r="G222" s="386"/>
      <c r="H222" s="386"/>
    </row>
    <row r="223" spans="3:8" s="377" customFormat="1" ht="12.75">
      <c r="C223" s="416"/>
      <c r="D223" s="386"/>
      <c r="E223" s="386"/>
      <c r="F223" s="386"/>
      <c r="G223" s="386"/>
      <c r="H223" s="386"/>
    </row>
    <row r="224" spans="3:8" s="377" customFormat="1" ht="12.75">
      <c r="C224" s="416"/>
      <c r="D224" s="386"/>
      <c r="E224" s="386"/>
      <c r="F224" s="386"/>
      <c r="G224" s="386"/>
      <c r="H224" s="386"/>
    </row>
    <row r="225" spans="3:8" s="377" customFormat="1" ht="12.75">
      <c r="C225" s="416"/>
      <c r="D225" s="386"/>
      <c r="E225" s="386"/>
      <c r="F225" s="386"/>
      <c r="G225" s="386"/>
      <c r="H225" s="386"/>
    </row>
    <row r="226" spans="3:8" s="377" customFormat="1" ht="12.75">
      <c r="C226" s="416"/>
      <c r="D226" s="386"/>
      <c r="E226" s="386"/>
      <c r="F226" s="386"/>
      <c r="G226" s="386"/>
      <c r="H226" s="386"/>
    </row>
    <row r="227" spans="3:8" s="377" customFormat="1" ht="12.75">
      <c r="C227" s="416"/>
      <c r="D227" s="386"/>
      <c r="E227" s="386"/>
      <c r="F227" s="386"/>
      <c r="G227" s="386"/>
      <c r="H227" s="386"/>
    </row>
    <row r="228" spans="3:8" s="377" customFormat="1" ht="12.75">
      <c r="C228" s="416"/>
      <c r="D228" s="386"/>
      <c r="E228" s="386"/>
      <c r="F228" s="386"/>
      <c r="G228" s="386"/>
      <c r="H228" s="386"/>
    </row>
    <row r="229" spans="3:8" s="377" customFormat="1" ht="12.75">
      <c r="C229" s="416"/>
      <c r="D229" s="386"/>
      <c r="E229" s="386"/>
      <c r="F229" s="386"/>
      <c r="G229" s="386"/>
      <c r="H229" s="386"/>
    </row>
    <row r="230" spans="3:8" s="377" customFormat="1" ht="12.75">
      <c r="C230" s="416"/>
      <c r="D230" s="386"/>
      <c r="E230" s="386"/>
      <c r="F230" s="386"/>
      <c r="G230" s="386"/>
      <c r="H230" s="386"/>
    </row>
    <row r="231" spans="3:8" s="377" customFormat="1" ht="12.75">
      <c r="C231" s="416"/>
      <c r="D231" s="386"/>
      <c r="E231" s="386"/>
      <c r="F231" s="386"/>
      <c r="G231" s="386"/>
      <c r="H231" s="386"/>
    </row>
    <row r="232" spans="3:8" s="377" customFormat="1" ht="12.75">
      <c r="C232" s="416"/>
      <c r="D232" s="386"/>
      <c r="E232" s="386"/>
      <c r="F232" s="386"/>
      <c r="G232" s="386"/>
      <c r="H232" s="386"/>
    </row>
    <row r="233" spans="3:8" s="377" customFormat="1" ht="12.75">
      <c r="C233" s="416"/>
      <c r="D233" s="386"/>
      <c r="E233" s="386"/>
      <c r="F233" s="386"/>
      <c r="G233" s="386"/>
      <c r="H233" s="386"/>
    </row>
    <row r="234" spans="3:8" s="377" customFormat="1" ht="12.75">
      <c r="C234" s="416"/>
      <c r="D234" s="386"/>
      <c r="E234" s="386"/>
      <c r="F234" s="386"/>
      <c r="G234" s="386"/>
      <c r="H234" s="386"/>
    </row>
    <row r="235" spans="3:8" s="377" customFormat="1" ht="12.75">
      <c r="C235" s="416"/>
      <c r="D235" s="386"/>
      <c r="E235" s="386"/>
      <c r="F235" s="386"/>
      <c r="G235" s="386"/>
      <c r="H235" s="386"/>
    </row>
    <row r="236" spans="3:8" s="377" customFormat="1" ht="12.75">
      <c r="C236" s="416"/>
      <c r="D236" s="386"/>
      <c r="E236" s="386"/>
      <c r="F236" s="386"/>
      <c r="G236" s="386"/>
      <c r="H236" s="386"/>
    </row>
    <row r="237" spans="3:8" s="377" customFormat="1" ht="12.75">
      <c r="C237" s="416"/>
      <c r="D237" s="386"/>
      <c r="E237" s="386"/>
      <c r="F237" s="386"/>
      <c r="G237" s="386"/>
      <c r="H237" s="386"/>
    </row>
    <row r="238" spans="3:8" s="377" customFormat="1" ht="12.75">
      <c r="C238" s="416"/>
      <c r="D238" s="386"/>
      <c r="E238" s="386"/>
      <c r="F238" s="386"/>
      <c r="G238" s="386"/>
      <c r="H238" s="386"/>
    </row>
    <row r="239" spans="3:8" s="377" customFormat="1" ht="12.75">
      <c r="C239" s="416"/>
      <c r="D239" s="386"/>
      <c r="E239" s="386"/>
      <c r="F239" s="386"/>
      <c r="G239" s="386"/>
      <c r="H239" s="386"/>
    </row>
    <row r="240" spans="3:8" s="377" customFormat="1" ht="12.75">
      <c r="C240" s="416"/>
      <c r="D240" s="386"/>
      <c r="E240" s="386"/>
      <c r="F240" s="386"/>
      <c r="G240" s="386"/>
      <c r="H240" s="386"/>
    </row>
    <row r="241" spans="3:8" s="377" customFormat="1" ht="12.75">
      <c r="C241" s="416"/>
      <c r="D241" s="386"/>
      <c r="E241" s="386"/>
      <c r="F241" s="386"/>
      <c r="G241" s="386"/>
      <c r="H241" s="386"/>
    </row>
    <row r="242" spans="3:8" s="377" customFormat="1" ht="12.75">
      <c r="C242" s="416"/>
      <c r="D242" s="386"/>
      <c r="E242" s="386"/>
      <c r="F242" s="386"/>
      <c r="G242" s="386"/>
      <c r="H242" s="386"/>
    </row>
    <row r="243" spans="3:8" s="377" customFormat="1" ht="12.75">
      <c r="C243" s="416"/>
      <c r="D243" s="386"/>
      <c r="E243" s="386"/>
      <c r="F243" s="386"/>
      <c r="G243" s="386"/>
      <c r="H243" s="386"/>
    </row>
    <row r="244" spans="3:8" s="377" customFormat="1" ht="12.75">
      <c r="C244" s="416"/>
      <c r="D244" s="386"/>
      <c r="E244" s="386"/>
      <c r="F244" s="386"/>
      <c r="G244" s="386"/>
      <c r="H244" s="386"/>
    </row>
    <row r="245" spans="3:8" s="377" customFormat="1" ht="12.75">
      <c r="C245" s="416"/>
      <c r="D245" s="386"/>
      <c r="E245" s="386"/>
      <c r="F245" s="386"/>
      <c r="G245" s="386"/>
      <c r="H245" s="386"/>
    </row>
    <row r="246" spans="3:8" s="377" customFormat="1" ht="12.75">
      <c r="C246" s="416"/>
      <c r="D246" s="386"/>
      <c r="E246" s="386"/>
      <c r="F246" s="386"/>
      <c r="G246" s="386"/>
      <c r="H246" s="386"/>
    </row>
    <row r="247" spans="3:8" s="377" customFormat="1" ht="12.75">
      <c r="C247" s="416"/>
      <c r="D247" s="386"/>
      <c r="E247" s="386"/>
      <c r="F247" s="386"/>
      <c r="G247" s="386"/>
      <c r="H247" s="386"/>
    </row>
    <row r="248" spans="3:8" s="377" customFormat="1" ht="12.75">
      <c r="C248" s="416"/>
      <c r="D248" s="386"/>
      <c r="E248" s="386"/>
      <c r="F248" s="386"/>
      <c r="G248" s="386"/>
      <c r="H248" s="386"/>
    </row>
    <row r="249" spans="3:8" s="377" customFormat="1" ht="12.75">
      <c r="C249" s="416"/>
      <c r="D249" s="386"/>
      <c r="E249" s="386"/>
      <c r="F249" s="386"/>
      <c r="G249" s="386"/>
      <c r="H249" s="386"/>
    </row>
    <row r="250" spans="3:8" s="377" customFormat="1" ht="12.75">
      <c r="C250" s="416"/>
      <c r="D250" s="386"/>
      <c r="E250" s="386"/>
      <c r="F250" s="386"/>
      <c r="G250" s="386"/>
      <c r="H250" s="386"/>
    </row>
    <row r="251" spans="3:8" s="377" customFormat="1" ht="12.75">
      <c r="C251" s="416"/>
      <c r="D251" s="386"/>
      <c r="E251" s="386"/>
      <c r="F251" s="386"/>
      <c r="G251" s="386"/>
      <c r="H251" s="386"/>
    </row>
    <row r="252" spans="3:8" s="377" customFormat="1" ht="12.75">
      <c r="C252" s="416"/>
      <c r="D252" s="386"/>
      <c r="E252" s="386"/>
      <c r="F252" s="386"/>
      <c r="G252" s="386"/>
      <c r="H252" s="386"/>
    </row>
    <row r="253" spans="3:8" s="377" customFormat="1" ht="12.75">
      <c r="C253" s="416"/>
      <c r="D253" s="386"/>
      <c r="E253" s="386"/>
      <c r="F253" s="386"/>
      <c r="G253" s="386"/>
      <c r="H253" s="386"/>
    </row>
    <row r="254" spans="3:8" s="377" customFormat="1" ht="12.75">
      <c r="C254" s="416"/>
      <c r="D254" s="386"/>
      <c r="E254" s="386"/>
      <c r="F254" s="386"/>
      <c r="G254" s="386"/>
      <c r="H254" s="386"/>
    </row>
    <row r="255" spans="3:8" s="377" customFormat="1" ht="12.75">
      <c r="C255" s="416"/>
      <c r="D255" s="386"/>
      <c r="E255" s="386"/>
      <c r="F255" s="386"/>
      <c r="G255" s="386"/>
      <c r="H255" s="386"/>
    </row>
    <row r="256" spans="3:8" s="377" customFormat="1" ht="12.75">
      <c r="C256" s="416"/>
      <c r="D256" s="386"/>
      <c r="E256" s="386"/>
      <c r="F256" s="386"/>
      <c r="G256" s="386"/>
      <c r="H256" s="386"/>
    </row>
    <row r="257" spans="3:8" s="377" customFormat="1" ht="12.75">
      <c r="C257" s="416"/>
      <c r="D257" s="386"/>
      <c r="E257" s="386"/>
      <c r="F257" s="386"/>
      <c r="G257" s="386"/>
      <c r="H257" s="386"/>
    </row>
    <row r="258" spans="3:8" s="377" customFormat="1" ht="12.75">
      <c r="C258" s="416"/>
      <c r="D258" s="386"/>
      <c r="E258" s="386"/>
      <c r="F258" s="386"/>
      <c r="G258" s="386"/>
      <c r="H258" s="386"/>
    </row>
    <row r="259" spans="3:8" s="377" customFormat="1" ht="12.75">
      <c r="C259" s="416"/>
      <c r="D259" s="386"/>
      <c r="E259" s="386"/>
      <c r="F259" s="386"/>
      <c r="G259" s="386"/>
      <c r="H259" s="386"/>
    </row>
    <row r="260" spans="3:8" s="377" customFormat="1" ht="12.75">
      <c r="C260" s="416"/>
      <c r="D260" s="386"/>
      <c r="E260" s="386"/>
      <c r="F260" s="386"/>
      <c r="G260" s="386"/>
      <c r="H260" s="386"/>
    </row>
    <row r="261" spans="3:8" s="377" customFormat="1" ht="12.75">
      <c r="C261" s="416"/>
      <c r="D261" s="386"/>
      <c r="E261" s="386"/>
      <c r="F261" s="386"/>
      <c r="G261" s="386"/>
      <c r="H261" s="386"/>
    </row>
    <row r="262" spans="3:8" s="377" customFormat="1" ht="12.75">
      <c r="C262" s="416"/>
      <c r="D262" s="386"/>
      <c r="E262" s="386"/>
      <c r="F262" s="386"/>
      <c r="G262" s="386"/>
      <c r="H262" s="386"/>
    </row>
    <row r="263" spans="3:8" s="377" customFormat="1" ht="12.75">
      <c r="C263" s="416"/>
      <c r="D263" s="386"/>
      <c r="E263" s="386"/>
      <c r="F263" s="386"/>
      <c r="G263" s="386"/>
      <c r="H263" s="386"/>
    </row>
    <row r="264" spans="3:8" s="377" customFormat="1" ht="12.75">
      <c r="C264" s="416"/>
      <c r="D264" s="386"/>
      <c r="E264" s="386"/>
      <c r="F264" s="386"/>
      <c r="G264" s="386"/>
      <c r="H264" s="386"/>
    </row>
    <row r="265" spans="3:8" s="377" customFormat="1" ht="12.75">
      <c r="C265" s="416"/>
      <c r="D265" s="386"/>
      <c r="E265" s="386"/>
      <c r="F265" s="386"/>
      <c r="G265" s="386"/>
      <c r="H265" s="386"/>
    </row>
    <row r="266" spans="3:8" s="377" customFormat="1" ht="12.75">
      <c r="C266" s="416"/>
      <c r="D266" s="386"/>
      <c r="E266" s="386"/>
      <c r="F266" s="386"/>
      <c r="G266" s="386"/>
      <c r="H266" s="386"/>
    </row>
    <row r="267" spans="3:8" s="377" customFormat="1" ht="12.75">
      <c r="C267" s="416"/>
      <c r="D267" s="386"/>
      <c r="E267" s="386"/>
      <c r="F267" s="386"/>
      <c r="G267" s="386"/>
      <c r="H267" s="386"/>
    </row>
    <row r="268" spans="3:8" s="377" customFormat="1" ht="12.75">
      <c r="C268" s="416"/>
      <c r="D268" s="386"/>
      <c r="E268" s="386"/>
      <c r="F268" s="386"/>
      <c r="G268" s="386"/>
      <c r="H268" s="386"/>
    </row>
    <row r="269" spans="3:8" s="377" customFormat="1" ht="12.75">
      <c r="C269" s="416"/>
      <c r="D269" s="386"/>
      <c r="E269" s="386"/>
      <c r="F269" s="386"/>
      <c r="G269" s="386"/>
      <c r="H269" s="386"/>
    </row>
    <row r="270" spans="3:8" s="377" customFormat="1" ht="12.75">
      <c r="C270" s="416"/>
      <c r="D270" s="386"/>
      <c r="E270" s="386"/>
      <c r="F270" s="386"/>
      <c r="G270" s="386"/>
      <c r="H270" s="386"/>
    </row>
    <row r="271" spans="3:8" s="377" customFormat="1" ht="12.75">
      <c r="C271" s="416"/>
      <c r="D271" s="386"/>
      <c r="E271" s="386"/>
      <c r="F271" s="386"/>
      <c r="G271" s="386"/>
      <c r="H271" s="386"/>
    </row>
    <row r="272" spans="3:8" s="377" customFormat="1" ht="12.75">
      <c r="C272" s="416"/>
      <c r="D272" s="386"/>
      <c r="E272" s="386"/>
      <c r="F272" s="386"/>
      <c r="G272" s="386"/>
      <c r="H272" s="386"/>
    </row>
    <row r="273" spans="3:8" s="377" customFormat="1" ht="12.75">
      <c r="C273" s="416"/>
      <c r="D273" s="386"/>
      <c r="E273" s="386"/>
      <c r="F273" s="386"/>
      <c r="G273" s="386"/>
      <c r="H273" s="386"/>
    </row>
    <row r="274" spans="3:8" s="377" customFormat="1" ht="12.75">
      <c r="C274" s="416"/>
      <c r="D274" s="386"/>
      <c r="E274" s="386"/>
      <c r="F274" s="386"/>
      <c r="G274" s="386"/>
      <c r="H274" s="386"/>
    </row>
    <row r="275" spans="3:8" s="377" customFormat="1" ht="12.75">
      <c r="C275" s="416"/>
      <c r="D275" s="386"/>
      <c r="E275" s="386"/>
      <c r="F275" s="386"/>
      <c r="G275" s="386"/>
      <c r="H275" s="386"/>
    </row>
    <row r="276" spans="3:8" s="377" customFormat="1" ht="12.75">
      <c r="C276" s="416"/>
      <c r="D276" s="386"/>
      <c r="E276" s="386"/>
      <c r="F276" s="386"/>
      <c r="G276" s="386"/>
      <c r="H276" s="386"/>
    </row>
    <row r="277" spans="3:8" s="377" customFormat="1" ht="12.75">
      <c r="C277" s="416"/>
      <c r="D277" s="386"/>
      <c r="E277" s="386"/>
      <c r="F277" s="386"/>
      <c r="G277" s="386"/>
      <c r="H277" s="386"/>
    </row>
    <row r="278" spans="3:8" s="377" customFormat="1" ht="12.75">
      <c r="C278" s="416"/>
      <c r="D278" s="386"/>
      <c r="E278" s="386"/>
      <c r="F278" s="386"/>
      <c r="G278" s="386"/>
      <c r="H278" s="386"/>
    </row>
    <row r="279" spans="3:8" s="377" customFormat="1" ht="12.75">
      <c r="C279" s="416"/>
      <c r="D279" s="386"/>
      <c r="E279" s="386"/>
      <c r="F279" s="386"/>
      <c r="G279" s="386"/>
      <c r="H279" s="386"/>
    </row>
    <row r="280" spans="3:8" s="377" customFormat="1" ht="12.75">
      <c r="C280" s="416"/>
      <c r="D280" s="386"/>
      <c r="E280" s="386"/>
      <c r="F280" s="386"/>
      <c r="G280" s="386"/>
      <c r="H280" s="386"/>
    </row>
    <row r="281" spans="3:8" s="377" customFormat="1" ht="12.75">
      <c r="C281" s="416"/>
      <c r="D281" s="386"/>
      <c r="E281" s="386"/>
      <c r="F281" s="386"/>
      <c r="G281" s="386"/>
      <c r="H281" s="386"/>
    </row>
    <row r="282" spans="3:8" s="377" customFormat="1" ht="12.75">
      <c r="C282" s="416"/>
      <c r="D282" s="386"/>
      <c r="E282" s="386"/>
      <c r="F282" s="386"/>
      <c r="G282" s="386"/>
      <c r="H282" s="386"/>
    </row>
    <row r="283" spans="3:8" s="377" customFormat="1" ht="12.75">
      <c r="C283" s="416"/>
      <c r="D283" s="386"/>
      <c r="E283" s="386"/>
      <c r="F283" s="386"/>
      <c r="G283" s="386"/>
      <c r="H283" s="386"/>
    </row>
    <row r="284" spans="3:8" s="377" customFormat="1" ht="12.75">
      <c r="C284" s="416"/>
      <c r="D284" s="386"/>
      <c r="E284" s="386"/>
      <c r="F284" s="386"/>
      <c r="G284" s="386"/>
      <c r="H284" s="386"/>
    </row>
    <row r="285" spans="3:8" s="377" customFormat="1" ht="12.75">
      <c r="C285" s="416"/>
      <c r="D285" s="386"/>
      <c r="E285" s="386"/>
      <c r="F285" s="386"/>
      <c r="G285" s="386"/>
      <c r="H285" s="386"/>
    </row>
    <row r="286" spans="3:8" s="377" customFormat="1" ht="12.75">
      <c r="C286" s="416"/>
      <c r="D286" s="386"/>
      <c r="E286" s="386"/>
      <c r="F286" s="386"/>
      <c r="G286" s="386"/>
      <c r="H286" s="386"/>
    </row>
    <row r="287" spans="3:8" s="377" customFormat="1" ht="12.75">
      <c r="C287" s="416"/>
      <c r="D287" s="386"/>
      <c r="E287" s="386"/>
      <c r="F287" s="386"/>
      <c r="G287" s="386"/>
      <c r="H287" s="386"/>
    </row>
    <row r="288" spans="3:8" s="377" customFormat="1" ht="12.75">
      <c r="C288" s="416"/>
      <c r="D288" s="386"/>
      <c r="E288" s="386"/>
      <c r="F288" s="386"/>
      <c r="G288" s="386"/>
      <c r="H288" s="386"/>
    </row>
    <row r="289" spans="3:8" s="377" customFormat="1" ht="12.75">
      <c r="C289" s="416"/>
      <c r="D289" s="386"/>
      <c r="E289" s="386"/>
      <c r="F289" s="386"/>
      <c r="G289" s="386"/>
      <c r="H289" s="386"/>
    </row>
    <row r="290" spans="3:8" s="377" customFormat="1" ht="12.75">
      <c r="C290" s="416"/>
      <c r="D290" s="386"/>
      <c r="E290" s="386"/>
      <c r="F290" s="386"/>
      <c r="G290" s="386"/>
      <c r="H290" s="386"/>
    </row>
    <row r="291" spans="3:8" s="377" customFormat="1" ht="12.75">
      <c r="C291" s="416"/>
      <c r="D291" s="386"/>
      <c r="E291" s="386"/>
      <c r="F291" s="386"/>
      <c r="G291" s="386"/>
      <c r="H291" s="386"/>
    </row>
    <row r="292" spans="3:8" s="377" customFormat="1" ht="12.75">
      <c r="C292" s="416"/>
      <c r="D292" s="386"/>
      <c r="E292" s="386"/>
      <c r="F292" s="386"/>
      <c r="G292" s="386"/>
      <c r="H292" s="386"/>
    </row>
    <row r="293" spans="3:8" s="377" customFormat="1" ht="12.75">
      <c r="C293" s="416"/>
      <c r="D293" s="386"/>
      <c r="E293" s="386"/>
      <c r="F293" s="386"/>
      <c r="G293" s="386"/>
      <c r="H293" s="386"/>
    </row>
    <row r="294" spans="3:8" s="377" customFormat="1" ht="12.75">
      <c r="C294" s="416"/>
      <c r="D294" s="386"/>
      <c r="E294" s="386"/>
      <c r="F294" s="386"/>
      <c r="G294" s="386"/>
      <c r="H294" s="386"/>
    </row>
    <row r="295" spans="3:8" s="377" customFormat="1" ht="12.75">
      <c r="C295" s="416"/>
      <c r="D295" s="386"/>
      <c r="E295" s="386"/>
      <c r="F295" s="386"/>
      <c r="G295" s="386"/>
      <c r="H295" s="386"/>
    </row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4.7109375" style="419" hidden="1" customWidth="1"/>
    <col min="2" max="2" width="2.7109375" style="436" customWidth="1"/>
    <col min="3" max="3" width="28.57421875" style="457" hidden="1" customWidth="1"/>
    <col min="4" max="4" width="45.7109375" style="457" customWidth="1"/>
    <col min="5" max="5" width="1.57421875" style="457" customWidth="1"/>
    <col min="6" max="6" width="15.140625" style="478" customWidth="1"/>
    <col min="7" max="7" width="16.00390625" style="459" customWidth="1"/>
    <col min="8" max="8" width="16.28125" style="460" customWidth="1"/>
    <col min="9" max="9" width="15.8515625" style="460" customWidth="1"/>
    <col min="10" max="11" width="16.140625" style="460" customWidth="1"/>
    <col min="12" max="12" width="17.140625" style="460" customWidth="1"/>
    <col min="13" max="13" width="11.57421875" style="419" hidden="1" customWidth="1"/>
    <col min="14" max="14" width="0" style="419" hidden="1" customWidth="1"/>
    <col min="15" max="15" width="9.140625" style="419" hidden="1" customWidth="1"/>
    <col min="16" max="16384" width="9.140625" style="419" customWidth="1"/>
  </cols>
  <sheetData>
    <row r="1" spans="1:12" ht="12.75" hidden="1">
      <c r="A1" s="419" t="s">
        <v>567</v>
      </c>
      <c r="B1" s="420" t="s">
        <v>1486</v>
      </c>
      <c r="C1" s="421" t="s">
        <v>1487</v>
      </c>
      <c r="D1" s="421" t="s">
        <v>1488</v>
      </c>
      <c r="E1" s="421"/>
      <c r="F1" s="422" t="s">
        <v>743</v>
      </c>
      <c r="G1" s="423" t="s">
        <v>744</v>
      </c>
      <c r="H1" s="424" t="s">
        <v>745</v>
      </c>
      <c r="I1" s="424" t="s">
        <v>746</v>
      </c>
      <c r="J1" s="424" t="s">
        <v>747</v>
      </c>
      <c r="K1" s="424" t="s">
        <v>748</v>
      </c>
      <c r="L1" s="424" t="s">
        <v>1488</v>
      </c>
    </row>
    <row r="2" spans="1:15" s="435" customFormat="1" ht="15.75" customHeight="1">
      <c r="A2" s="425"/>
      <c r="B2" s="426" t="str">
        <f>"University of Missouri - "&amp;RBN</f>
        <v>University of Missouri - St. Louis</v>
      </c>
      <c r="C2" s="427"/>
      <c r="D2" s="428"/>
      <c r="E2" s="429"/>
      <c r="F2" s="430"/>
      <c r="G2" s="430"/>
      <c r="H2" s="431" t="s">
        <v>1486</v>
      </c>
      <c r="I2" s="430"/>
      <c r="J2" s="432"/>
      <c r="K2" s="430"/>
      <c r="L2" s="433"/>
      <c r="M2" s="434"/>
      <c r="N2" s="435" t="s">
        <v>1657</v>
      </c>
      <c r="O2" s="435" t="s">
        <v>571</v>
      </c>
    </row>
    <row r="3" spans="1:15" ht="15.75" customHeight="1">
      <c r="A3" s="436"/>
      <c r="B3" s="437" t="s">
        <v>749</v>
      </c>
      <c r="C3" s="438"/>
      <c r="D3" s="439"/>
      <c r="E3" s="440"/>
      <c r="F3" s="441"/>
      <c r="G3" s="441"/>
      <c r="H3" s="442"/>
      <c r="I3" s="443"/>
      <c r="J3" s="441"/>
      <c r="K3" s="441"/>
      <c r="L3" s="444"/>
      <c r="M3" s="445"/>
      <c r="O3" s="419" t="s">
        <v>750</v>
      </c>
    </row>
    <row r="4" spans="1:15" ht="15.75" customHeight="1">
      <c r="A4" s="436"/>
      <c r="B4" s="446" t="str">
        <f>"As of "&amp;TEXT(O4,"MMMM DD, YYYY")</f>
        <v>As of June 30, 2004</v>
      </c>
      <c r="C4" s="438"/>
      <c r="D4" s="439"/>
      <c r="E4" s="440"/>
      <c r="F4" s="441"/>
      <c r="G4" s="441"/>
      <c r="H4" s="441"/>
      <c r="I4" s="441"/>
      <c r="J4" s="441"/>
      <c r="K4" s="441"/>
      <c r="L4" s="447"/>
      <c r="M4" s="445"/>
      <c r="O4" s="419" t="s">
        <v>1656</v>
      </c>
    </row>
    <row r="5" spans="1:13" ht="12.75" customHeight="1">
      <c r="A5" s="436"/>
      <c r="B5" s="446"/>
      <c r="C5" s="438"/>
      <c r="D5" s="439"/>
      <c r="E5" s="440"/>
      <c r="F5" s="441"/>
      <c r="G5" s="441"/>
      <c r="H5" s="441"/>
      <c r="I5" s="441"/>
      <c r="J5" s="441"/>
      <c r="K5" s="441"/>
      <c r="L5" s="84"/>
      <c r="M5" s="448"/>
    </row>
    <row r="6" spans="2:12" s="449" customFormat="1" ht="27.75" customHeight="1">
      <c r="B6" s="450"/>
      <c r="C6" s="451"/>
      <c r="D6" s="451"/>
      <c r="E6" s="451"/>
      <c r="F6" s="452" t="s">
        <v>751</v>
      </c>
      <c r="G6" s="453" t="s">
        <v>752</v>
      </c>
      <c r="H6" s="454" t="s">
        <v>753</v>
      </c>
      <c r="I6" s="454" t="s">
        <v>754</v>
      </c>
      <c r="J6" s="454" t="s">
        <v>755</v>
      </c>
      <c r="K6" s="454" t="s">
        <v>756</v>
      </c>
      <c r="L6" s="454" t="str">
        <f>"Balance
"&amp;TEXT(O4,"MMMM DD, YYYY")</f>
        <v>Balance
June 30, 2004</v>
      </c>
    </row>
    <row r="7" spans="1:6" ht="12.75">
      <c r="A7" s="419" t="s">
        <v>1486</v>
      </c>
      <c r="B7" s="455" t="s">
        <v>757</v>
      </c>
      <c r="C7" s="456"/>
      <c r="D7" s="456"/>
      <c r="F7" s="458"/>
    </row>
    <row r="8" spans="1:12" ht="12.75" outlineLevel="1">
      <c r="A8" s="419" t="s">
        <v>758</v>
      </c>
      <c r="B8" s="420"/>
      <c r="C8" s="421" t="s">
        <v>759</v>
      </c>
      <c r="D8" s="421" t="str">
        <f aca="true" t="shared" si="0" ref="D8:D22">UPPER(C8)</f>
        <v>NATIONAL DIRECT ST L</v>
      </c>
      <c r="E8" s="421"/>
      <c r="F8" s="461">
        <v>2670714.36</v>
      </c>
      <c r="G8" s="462">
        <v>37347</v>
      </c>
      <c r="H8" s="463">
        <v>29092.06</v>
      </c>
      <c r="I8" s="463">
        <v>8673.71</v>
      </c>
      <c r="J8" s="463">
        <v>18593.35</v>
      </c>
      <c r="K8" s="463">
        <v>12449</v>
      </c>
      <c r="L8" s="463">
        <f aca="true" t="shared" si="1" ref="L8:L22">F8+G8+H8+I8-J8+K8</f>
        <v>2739682.78</v>
      </c>
    </row>
    <row r="9" spans="1:12" ht="12.75" outlineLevel="1">
      <c r="A9" s="419" t="s">
        <v>760</v>
      </c>
      <c r="B9" s="420"/>
      <c r="C9" s="421" t="s">
        <v>761</v>
      </c>
      <c r="D9" s="421" t="str">
        <f t="shared" si="0"/>
        <v>OPTOMETRY LOAN</v>
      </c>
      <c r="E9" s="421"/>
      <c r="F9" s="464">
        <v>263485.55</v>
      </c>
      <c r="G9" s="465">
        <v>0</v>
      </c>
      <c r="H9" s="466">
        <v>3167</v>
      </c>
      <c r="I9" s="466">
        <v>3805.57</v>
      </c>
      <c r="J9" s="466">
        <v>0</v>
      </c>
      <c r="K9" s="466">
        <v>0</v>
      </c>
      <c r="L9" s="466">
        <f t="shared" si="1"/>
        <v>270458.12</v>
      </c>
    </row>
    <row r="10" spans="1:12" ht="12.75" outlineLevel="1">
      <c r="A10" s="419" t="s">
        <v>762</v>
      </c>
      <c r="B10" s="420"/>
      <c r="C10" s="421" t="s">
        <v>763</v>
      </c>
      <c r="D10" s="421" t="str">
        <f t="shared" si="0"/>
        <v>NURSING LOAN-UGRAD</v>
      </c>
      <c r="E10" s="421"/>
      <c r="F10" s="464">
        <v>28343.16</v>
      </c>
      <c r="G10" s="465">
        <v>17573</v>
      </c>
      <c r="H10" s="466">
        <v>249.91</v>
      </c>
      <c r="I10" s="466">
        <v>397.28</v>
      </c>
      <c r="J10" s="466">
        <v>0</v>
      </c>
      <c r="K10" s="466">
        <v>1953</v>
      </c>
      <c r="L10" s="466">
        <f t="shared" si="1"/>
        <v>48516.350000000006</v>
      </c>
    </row>
    <row r="11" spans="1:12" ht="12.75" outlineLevel="1">
      <c r="A11" s="419" t="s">
        <v>764</v>
      </c>
      <c r="B11" s="420"/>
      <c r="C11" s="421" t="s">
        <v>765</v>
      </c>
      <c r="D11" s="421" t="str">
        <f t="shared" si="0"/>
        <v>NURSING LOAN-GRAD</v>
      </c>
      <c r="E11" s="421"/>
      <c r="F11" s="464">
        <v>41905.51</v>
      </c>
      <c r="G11" s="465">
        <v>3952</v>
      </c>
      <c r="H11" s="466">
        <v>510.22</v>
      </c>
      <c r="I11" s="466">
        <v>557.35</v>
      </c>
      <c r="J11" s="466">
        <v>0</v>
      </c>
      <c r="K11" s="466">
        <v>440</v>
      </c>
      <c r="L11" s="466">
        <f t="shared" si="1"/>
        <v>47365.08</v>
      </c>
    </row>
    <row r="12" spans="1:12" ht="12.75" outlineLevel="1">
      <c r="A12" s="419" t="s">
        <v>766</v>
      </c>
      <c r="B12" s="420"/>
      <c r="C12" s="421" t="s">
        <v>767</v>
      </c>
      <c r="D12" s="421" t="str">
        <f t="shared" si="0"/>
        <v>LDS - OPTOMETRY</v>
      </c>
      <c r="E12" s="421"/>
      <c r="F12" s="464">
        <v>12538.24</v>
      </c>
      <c r="G12" s="465">
        <v>-1054</v>
      </c>
      <c r="H12" s="466">
        <v>232.47</v>
      </c>
      <c r="I12" s="466">
        <v>39.1</v>
      </c>
      <c r="J12" s="466">
        <v>0</v>
      </c>
      <c r="K12" s="466">
        <v>-117</v>
      </c>
      <c r="L12" s="466">
        <f t="shared" si="1"/>
        <v>11638.81</v>
      </c>
    </row>
    <row r="13" spans="1:12" ht="12.75" outlineLevel="1">
      <c r="A13" s="419" t="s">
        <v>768</v>
      </c>
      <c r="B13" s="420"/>
      <c r="C13" s="421" t="s">
        <v>769</v>
      </c>
      <c r="D13" s="421" t="str">
        <f t="shared" si="0"/>
        <v>ALLOW-DBTFL LOAN-FED</v>
      </c>
      <c r="E13" s="421"/>
      <c r="F13" s="464">
        <v>-174000</v>
      </c>
      <c r="G13" s="465">
        <v>0</v>
      </c>
      <c r="H13" s="466">
        <v>170000</v>
      </c>
      <c r="I13" s="466">
        <v>0</v>
      </c>
      <c r="J13" s="466">
        <v>0</v>
      </c>
      <c r="K13" s="466">
        <v>0</v>
      </c>
      <c r="L13" s="466">
        <f t="shared" si="1"/>
        <v>-4000</v>
      </c>
    </row>
    <row r="14" spans="1:12" ht="12.75" outlineLevel="1">
      <c r="A14" s="419" t="s">
        <v>770</v>
      </c>
      <c r="B14" s="420"/>
      <c r="C14" s="421" t="s">
        <v>771</v>
      </c>
      <c r="D14" s="421" t="str">
        <f t="shared" si="0"/>
        <v>EUNICE BEIMDIEK</v>
      </c>
      <c r="E14" s="421"/>
      <c r="F14" s="464">
        <v>27.53</v>
      </c>
      <c r="G14" s="465">
        <v>0</v>
      </c>
      <c r="H14" s="466">
        <v>0</v>
      </c>
      <c r="I14" s="466">
        <v>0.96</v>
      </c>
      <c r="J14" s="466">
        <v>0</v>
      </c>
      <c r="K14" s="466">
        <v>0</v>
      </c>
      <c r="L14" s="466">
        <f t="shared" si="1"/>
        <v>28.490000000000002</v>
      </c>
    </row>
    <row r="15" spans="1:12" ht="12.75" outlineLevel="1">
      <c r="A15" s="419" t="s">
        <v>772</v>
      </c>
      <c r="B15" s="420"/>
      <c r="C15" s="421" t="s">
        <v>773</v>
      </c>
      <c r="D15" s="421" t="str">
        <f t="shared" si="0"/>
        <v>HUGH AND FLO BRYANT</v>
      </c>
      <c r="E15" s="421"/>
      <c r="F15" s="464">
        <v>199429.08</v>
      </c>
      <c r="G15" s="465">
        <v>0</v>
      </c>
      <c r="H15" s="466">
        <v>499.93</v>
      </c>
      <c r="I15" s="466">
        <v>0</v>
      </c>
      <c r="J15" s="466">
        <v>0</v>
      </c>
      <c r="K15" s="466">
        <v>-499.93</v>
      </c>
      <c r="L15" s="466">
        <f t="shared" si="1"/>
        <v>199429.08</v>
      </c>
    </row>
    <row r="16" spans="1:12" ht="12.75" outlineLevel="1">
      <c r="A16" s="419" t="s">
        <v>774</v>
      </c>
      <c r="B16" s="420"/>
      <c r="C16" s="421" t="s">
        <v>775</v>
      </c>
      <c r="D16" s="421" t="str">
        <f t="shared" si="0"/>
        <v>GENERAL STUDENT LOAN</v>
      </c>
      <c r="E16" s="421"/>
      <c r="F16" s="464">
        <v>10.5</v>
      </c>
      <c r="G16" s="465">
        <v>0</v>
      </c>
      <c r="H16" s="466">
        <v>0</v>
      </c>
      <c r="I16" s="466">
        <v>0.36</v>
      </c>
      <c r="J16" s="466">
        <v>0</v>
      </c>
      <c r="K16" s="466">
        <v>0</v>
      </c>
      <c r="L16" s="466">
        <f t="shared" si="1"/>
        <v>10.86</v>
      </c>
    </row>
    <row r="17" spans="1:12" ht="12.75" outlineLevel="1">
      <c r="A17" s="419" t="s">
        <v>776</v>
      </c>
      <c r="B17" s="420"/>
      <c r="C17" s="421" t="s">
        <v>777</v>
      </c>
      <c r="D17" s="421" t="str">
        <f t="shared" si="0"/>
        <v>V N SAPP STUDENT LN</v>
      </c>
      <c r="E17" s="421"/>
      <c r="F17" s="464">
        <v>438.35</v>
      </c>
      <c r="G17" s="465">
        <v>0</v>
      </c>
      <c r="H17" s="466">
        <v>0</v>
      </c>
      <c r="I17" s="466">
        <v>15.16</v>
      </c>
      <c r="J17" s="466">
        <v>0</v>
      </c>
      <c r="K17" s="466">
        <v>0</v>
      </c>
      <c r="L17" s="466">
        <f t="shared" si="1"/>
        <v>453.51000000000005</v>
      </c>
    </row>
    <row r="18" spans="1:12" ht="12.75" outlineLevel="1">
      <c r="A18" s="419" t="s">
        <v>778</v>
      </c>
      <c r="B18" s="420"/>
      <c r="C18" s="421" t="s">
        <v>779</v>
      </c>
      <c r="D18" s="421" t="str">
        <f t="shared" si="0"/>
        <v>O M SCOTT LOAN</v>
      </c>
      <c r="E18" s="421"/>
      <c r="F18" s="464">
        <v>3531.98</v>
      </c>
      <c r="G18" s="465">
        <v>0</v>
      </c>
      <c r="H18" s="466">
        <v>0</v>
      </c>
      <c r="I18" s="466">
        <v>81.53</v>
      </c>
      <c r="J18" s="466">
        <v>0</v>
      </c>
      <c r="K18" s="466">
        <v>-81.53</v>
      </c>
      <c r="L18" s="466">
        <f t="shared" si="1"/>
        <v>3531.98</v>
      </c>
    </row>
    <row r="19" spans="1:12" ht="12.75" outlineLevel="1">
      <c r="A19" s="419" t="s">
        <v>780</v>
      </c>
      <c r="B19" s="420"/>
      <c r="C19" s="421" t="s">
        <v>781</v>
      </c>
      <c r="D19" s="421" t="str">
        <f t="shared" si="0"/>
        <v>SHRT TRM OPT STU LN</v>
      </c>
      <c r="E19" s="421"/>
      <c r="F19" s="464">
        <v>45227.73</v>
      </c>
      <c r="G19" s="465">
        <v>0</v>
      </c>
      <c r="H19" s="466">
        <v>255.3</v>
      </c>
      <c r="I19" s="466">
        <v>1490.99</v>
      </c>
      <c r="J19" s="466">
        <v>0</v>
      </c>
      <c r="K19" s="466">
        <v>0</v>
      </c>
      <c r="L19" s="466">
        <f t="shared" si="1"/>
        <v>46974.020000000004</v>
      </c>
    </row>
    <row r="20" spans="1:12" ht="12.75" outlineLevel="1">
      <c r="A20" s="419" t="s">
        <v>782</v>
      </c>
      <c r="B20" s="420"/>
      <c r="C20" s="421" t="s">
        <v>783</v>
      </c>
      <c r="D20" s="421" t="str">
        <f t="shared" si="0"/>
        <v>WEBSTER GROVES ROTLN</v>
      </c>
      <c r="E20" s="421"/>
      <c r="F20" s="464">
        <v>2800.2</v>
      </c>
      <c r="G20" s="465">
        <v>0</v>
      </c>
      <c r="H20" s="466">
        <v>0</v>
      </c>
      <c r="I20" s="466">
        <v>96.81</v>
      </c>
      <c r="J20" s="466">
        <v>0</v>
      </c>
      <c r="K20" s="466">
        <v>0</v>
      </c>
      <c r="L20" s="466">
        <f t="shared" si="1"/>
        <v>2897.0099999999998</v>
      </c>
    </row>
    <row r="21" spans="1:12" ht="12.75" outlineLevel="1">
      <c r="A21" s="419" t="s">
        <v>784</v>
      </c>
      <c r="B21" s="420"/>
      <c r="C21" s="421" t="s">
        <v>785</v>
      </c>
      <c r="D21" s="421" t="str">
        <f t="shared" si="0"/>
        <v>JOHN B CHRISTIAN LOAN FUND</v>
      </c>
      <c r="E21" s="421"/>
      <c r="F21" s="464">
        <v>5000</v>
      </c>
      <c r="G21" s="465">
        <v>0</v>
      </c>
      <c r="H21" s="466">
        <v>0</v>
      </c>
      <c r="I21" s="466">
        <v>0</v>
      </c>
      <c r="J21" s="466">
        <v>0</v>
      </c>
      <c r="K21" s="466">
        <v>0</v>
      </c>
      <c r="L21" s="466">
        <f t="shared" si="1"/>
        <v>5000</v>
      </c>
    </row>
    <row r="22" spans="1:12" s="467" customFormat="1" ht="12" customHeight="1">
      <c r="A22" s="467" t="s">
        <v>786</v>
      </c>
      <c r="B22" s="455"/>
      <c r="C22" s="468" t="s">
        <v>787</v>
      </c>
      <c r="D22" s="468" t="str">
        <f t="shared" si="0"/>
        <v>TOTAL RESTRICTED</v>
      </c>
      <c r="E22" s="456"/>
      <c r="F22" s="469">
        <v>3099452.19</v>
      </c>
      <c r="G22" s="470">
        <v>57818</v>
      </c>
      <c r="H22" s="471">
        <v>204006.89</v>
      </c>
      <c r="I22" s="471">
        <v>15158.82</v>
      </c>
      <c r="J22" s="471">
        <v>18593.35</v>
      </c>
      <c r="K22" s="471">
        <v>14143.54</v>
      </c>
      <c r="L22" s="471">
        <f t="shared" si="1"/>
        <v>3371986.09</v>
      </c>
    </row>
    <row r="23" spans="6:12" ht="12" customHeight="1">
      <c r="F23" s="472"/>
      <c r="G23" s="473"/>
      <c r="H23" s="474"/>
      <c r="I23" s="474"/>
      <c r="J23" s="474"/>
      <c r="K23" s="474"/>
      <c r="L23" s="474"/>
    </row>
    <row r="24" spans="2:12" ht="12.75">
      <c r="B24" s="455" t="s">
        <v>788</v>
      </c>
      <c r="C24" s="456"/>
      <c r="D24" s="456"/>
      <c r="F24" s="472"/>
      <c r="G24" s="473"/>
      <c r="H24" s="474"/>
      <c r="I24" s="474"/>
      <c r="J24" s="474"/>
      <c r="K24" s="474"/>
      <c r="L24" s="474"/>
    </row>
    <row r="25" spans="1:12" ht="12.75" outlineLevel="1">
      <c r="A25" s="419" t="s">
        <v>789</v>
      </c>
      <c r="B25" s="420"/>
      <c r="C25" s="421" t="s">
        <v>790</v>
      </c>
      <c r="D25" s="421" t="str">
        <f aca="true" t="shared" si="2" ref="D25:D33">UPPER(C25)</f>
        <v>CASH &amp; CASH EQUIV</v>
      </c>
      <c r="E25" s="421"/>
      <c r="F25" s="464">
        <v>3.11</v>
      </c>
      <c r="G25" s="465">
        <v>0</v>
      </c>
      <c r="H25" s="466">
        <v>0</v>
      </c>
      <c r="I25" s="466">
        <v>0</v>
      </c>
      <c r="J25" s="466">
        <v>0</v>
      </c>
      <c r="K25" s="466">
        <v>0</v>
      </c>
      <c r="L25" s="466">
        <f aca="true" t="shared" si="3" ref="L25:L33">F25+G25+H25+I25-J25+K25</f>
        <v>3.11</v>
      </c>
    </row>
    <row r="26" spans="1:12" ht="12.75" outlineLevel="1">
      <c r="A26" s="419" t="s">
        <v>791</v>
      </c>
      <c r="B26" s="420"/>
      <c r="C26" s="421" t="s">
        <v>792</v>
      </c>
      <c r="D26" s="421" t="str">
        <f t="shared" si="2"/>
        <v>SHORT-TERM STUDENTLN</v>
      </c>
      <c r="E26" s="421"/>
      <c r="F26" s="464">
        <v>6807.05</v>
      </c>
      <c r="G26" s="465">
        <v>0</v>
      </c>
      <c r="H26" s="466">
        <v>1041.25</v>
      </c>
      <c r="I26" s="466">
        <v>186.75</v>
      </c>
      <c r="J26" s="466">
        <v>0</v>
      </c>
      <c r="K26" s="466">
        <v>0</v>
      </c>
      <c r="L26" s="466">
        <f t="shared" si="3"/>
        <v>8035.05</v>
      </c>
    </row>
    <row r="27" spans="1:12" ht="12.75" outlineLevel="1">
      <c r="A27" s="419" t="s">
        <v>793</v>
      </c>
      <c r="B27" s="420"/>
      <c r="C27" s="421" t="s">
        <v>794</v>
      </c>
      <c r="D27" s="421" t="str">
        <f t="shared" si="2"/>
        <v>BARNETT EMERG ST LNS</v>
      </c>
      <c r="E27" s="421"/>
      <c r="F27" s="464">
        <v>44816</v>
      </c>
      <c r="G27" s="465">
        <v>0</v>
      </c>
      <c r="H27" s="466">
        <v>-168.15</v>
      </c>
      <c r="I27" s="466">
        <v>1394.66</v>
      </c>
      <c r="J27" s="466">
        <v>0</v>
      </c>
      <c r="K27" s="466">
        <v>0</v>
      </c>
      <c r="L27" s="466">
        <f t="shared" si="3"/>
        <v>46042.51</v>
      </c>
    </row>
    <row r="28" spans="1:12" ht="12.75" outlineLevel="1">
      <c r="A28" s="419" t="s">
        <v>795</v>
      </c>
      <c r="B28" s="420"/>
      <c r="C28" s="421" t="s">
        <v>796</v>
      </c>
      <c r="D28" s="421" t="str">
        <f t="shared" si="2"/>
        <v>BOWLING EMERG ST LN</v>
      </c>
      <c r="E28" s="421"/>
      <c r="F28" s="464">
        <v>7421.86</v>
      </c>
      <c r="G28" s="465">
        <v>0</v>
      </c>
      <c r="H28" s="466">
        <v>0</v>
      </c>
      <c r="I28" s="466">
        <v>238.37</v>
      </c>
      <c r="J28" s="466">
        <v>525</v>
      </c>
      <c r="K28" s="466">
        <v>0</v>
      </c>
      <c r="L28" s="466">
        <f t="shared" si="3"/>
        <v>7135.23</v>
      </c>
    </row>
    <row r="29" spans="1:12" ht="12.75" outlineLevel="1">
      <c r="A29" s="419" t="s">
        <v>797</v>
      </c>
      <c r="B29" s="420"/>
      <c r="C29" s="421" t="s">
        <v>798</v>
      </c>
      <c r="D29" s="421" t="str">
        <f t="shared" si="2"/>
        <v>EMERGENCY STU LN FND</v>
      </c>
      <c r="E29" s="421"/>
      <c r="F29" s="464">
        <v>47194.49</v>
      </c>
      <c r="G29" s="465">
        <v>0</v>
      </c>
      <c r="H29" s="466">
        <v>4050.75</v>
      </c>
      <c r="I29" s="466">
        <v>45.85</v>
      </c>
      <c r="J29" s="466">
        <v>-114</v>
      </c>
      <c r="K29" s="466">
        <v>0</v>
      </c>
      <c r="L29" s="466">
        <f t="shared" si="3"/>
        <v>51405.09</v>
      </c>
    </row>
    <row r="30" spans="1:12" ht="12.75" outlineLevel="1">
      <c r="A30" s="419" t="s">
        <v>799</v>
      </c>
      <c r="B30" s="420"/>
      <c r="C30" s="421" t="s">
        <v>800</v>
      </c>
      <c r="D30" s="421" t="str">
        <f t="shared" si="2"/>
        <v>UM ST LOUIS LOAN FND</v>
      </c>
      <c r="E30" s="421"/>
      <c r="F30" s="464">
        <v>5318.48</v>
      </c>
      <c r="G30" s="465">
        <v>0</v>
      </c>
      <c r="H30" s="466">
        <v>0</v>
      </c>
      <c r="I30" s="466">
        <v>62.87</v>
      </c>
      <c r="J30" s="466">
        <v>0</v>
      </c>
      <c r="K30" s="466">
        <v>0</v>
      </c>
      <c r="L30" s="466">
        <f t="shared" si="3"/>
        <v>5381.349999999999</v>
      </c>
    </row>
    <row r="31" spans="1:12" ht="12.75" outlineLevel="1">
      <c r="A31" s="419" t="s">
        <v>801</v>
      </c>
      <c r="B31" s="420"/>
      <c r="C31" s="421" t="s">
        <v>802</v>
      </c>
      <c r="D31" s="421" t="str">
        <f t="shared" si="2"/>
        <v>ALLOW DBFL NOTE NF-U</v>
      </c>
      <c r="E31" s="421"/>
      <c r="F31" s="464">
        <v>-16000</v>
      </c>
      <c r="G31" s="465">
        <v>0</v>
      </c>
      <c r="H31" s="466">
        <v>14000</v>
      </c>
      <c r="I31" s="466">
        <v>0</v>
      </c>
      <c r="J31" s="466">
        <v>0</v>
      </c>
      <c r="K31" s="466">
        <v>0</v>
      </c>
      <c r="L31" s="466">
        <f t="shared" si="3"/>
        <v>-2000</v>
      </c>
    </row>
    <row r="32" spans="1:12" ht="12.75" outlineLevel="1">
      <c r="A32" s="419" t="s">
        <v>803</v>
      </c>
      <c r="B32" s="420"/>
      <c r="C32" s="421" t="s">
        <v>804</v>
      </c>
      <c r="D32" s="421" t="str">
        <f t="shared" si="2"/>
        <v>STUDENT LOAN SUSPENS</v>
      </c>
      <c r="E32" s="421"/>
      <c r="F32" s="464">
        <v>-91.31</v>
      </c>
      <c r="G32" s="465">
        <v>0</v>
      </c>
      <c r="H32" s="466">
        <v>0</v>
      </c>
      <c r="I32" s="466">
        <v>132.83</v>
      </c>
      <c r="J32" s="466">
        <v>0</v>
      </c>
      <c r="K32" s="466">
        <v>0</v>
      </c>
      <c r="L32" s="466">
        <f t="shared" si="3"/>
        <v>41.52000000000001</v>
      </c>
    </row>
    <row r="33" spans="1:12" s="467" customFormat="1" ht="12.75">
      <c r="A33" s="467" t="s">
        <v>805</v>
      </c>
      <c r="B33" s="455"/>
      <c r="C33" s="468" t="s">
        <v>806</v>
      </c>
      <c r="D33" s="468" t="str">
        <f t="shared" si="2"/>
        <v>TOTAL UNRESTRICTED</v>
      </c>
      <c r="E33" s="456"/>
      <c r="F33" s="469">
        <v>95469.68</v>
      </c>
      <c r="G33" s="470">
        <v>0</v>
      </c>
      <c r="H33" s="471">
        <v>18923.85</v>
      </c>
      <c r="I33" s="471">
        <v>2061.45</v>
      </c>
      <c r="J33" s="471">
        <v>411</v>
      </c>
      <c r="K33" s="471">
        <v>0</v>
      </c>
      <c r="L33" s="471">
        <f t="shared" si="3"/>
        <v>116043.98</v>
      </c>
    </row>
    <row r="35" spans="2:12" s="467" customFormat="1" ht="12.75">
      <c r="B35" s="455"/>
      <c r="C35" s="456" t="s">
        <v>807</v>
      </c>
      <c r="D35" s="456" t="s">
        <v>808</v>
      </c>
      <c r="E35" s="456"/>
      <c r="F35" s="475">
        <f aca="true" t="shared" si="4" ref="F35:L35">F22+F33</f>
        <v>3194921.87</v>
      </c>
      <c r="G35" s="476">
        <f t="shared" si="4"/>
        <v>57818</v>
      </c>
      <c r="H35" s="477">
        <f t="shared" si="4"/>
        <v>222930.74000000002</v>
      </c>
      <c r="I35" s="477">
        <f t="shared" si="4"/>
        <v>17220.27</v>
      </c>
      <c r="J35" s="477">
        <f t="shared" si="4"/>
        <v>19004.35</v>
      </c>
      <c r="K35" s="477">
        <f t="shared" si="4"/>
        <v>14143.54</v>
      </c>
      <c r="L35" s="477">
        <f t="shared" si="4"/>
        <v>3488030.07</v>
      </c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8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419" hidden="1" customWidth="1"/>
    <col min="2" max="2" width="2.7109375" style="436" customWidth="1"/>
    <col min="3" max="3" width="2.7109375" style="457" customWidth="1"/>
    <col min="4" max="4" width="43.28125" style="457" hidden="1" customWidth="1"/>
    <col min="5" max="5" width="60.7109375" style="445" customWidth="1"/>
    <col min="6" max="6" width="14.7109375" style="459" customWidth="1"/>
    <col min="7" max="12" width="14.7109375" style="460" customWidth="1"/>
    <col min="13" max="13" width="11.57421875" style="481" hidden="1" customWidth="1"/>
    <col min="14" max="14" width="0" style="445" hidden="1" customWidth="1"/>
    <col min="15" max="16" width="9.140625" style="419" customWidth="1"/>
    <col min="17" max="17" width="9.140625" style="419" hidden="1" customWidth="1"/>
    <col min="18" max="16384" width="9.140625" style="419" customWidth="1"/>
  </cols>
  <sheetData>
    <row r="1" spans="1:12" ht="12.75" hidden="1">
      <c r="A1" s="419" t="s">
        <v>567</v>
      </c>
      <c r="B1" s="436" t="s">
        <v>1486</v>
      </c>
      <c r="C1" s="479"/>
      <c r="D1" s="457" t="s">
        <v>1487</v>
      </c>
      <c r="E1" s="480" t="s">
        <v>1488</v>
      </c>
      <c r="F1" s="423" t="s">
        <v>743</v>
      </c>
      <c r="G1" s="460" t="s">
        <v>809</v>
      </c>
      <c r="H1" s="460" t="s">
        <v>810</v>
      </c>
      <c r="I1" s="460" t="s">
        <v>811</v>
      </c>
      <c r="J1" s="460" t="s">
        <v>812</v>
      </c>
      <c r="K1" s="460" t="s">
        <v>748</v>
      </c>
      <c r="L1" s="460" t="s">
        <v>1488</v>
      </c>
    </row>
    <row r="2" spans="2:17" s="482" customFormat="1" ht="15.75" customHeight="1">
      <c r="B2" s="426" t="str">
        <f>"University of Missouri - "&amp;RBN</f>
        <v>University of Missouri - St. Louis</v>
      </c>
      <c r="C2" s="483"/>
      <c r="D2" s="484"/>
      <c r="E2" s="124"/>
      <c r="F2" s="485"/>
      <c r="G2" s="486"/>
      <c r="H2" s="487"/>
      <c r="I2" s="486"/>
      <c r="J2" s="488"/>
      <c r="K2" s="486"/>
      <c r="L2" s="489"/>
      <c r="M2" s="490"/>
      <c r="N2" s="491" t="s">
        <v>1657</v>
      </c>
      <c r="Q2" s="482" t="s">
        <v>571</v>
      </c>
    </row>
    <row r="3" spans="2:17" s="435" customFormat="1" ht="15.75" customHeight="1">
      <c r="B3" s="437" t="s">
        <v>813</v>
      </c>
      <c r="C3" s="492"/>
      <c r="D3" s="493"/>
      <c r="E3" s="128"/>
      <c r="F3" s="494"/>
      <c r="G3" s="495"/>
      <c r="H3" s="496"/>
      <c r="I3" s="497"/>
      <c r="J3" s="495"/>
      <c r="K3" s="495"/>
      <c r="L3" s="498"/>
      <c r="M3" s="499"/>
      <c r="N3" s="434"/>
      <c r="Q3" s="435" t="s">
        <v>814</v>
      </c>
    </row>
    <row r="4" spans="2:17" ht="15.75" customHeight="1">
      <c r="B4" s="446" t="str">
        <f>"As of "&amp;TEXT(Q4,"MMMM DD, YYYY")</f>
        <v>As of June 30, 2004</v>
      </c>
      <c r="C4" s="439"/>
      <c r="D4" s="440"/>
      <c r="E4" s="134"/>
      <c r="F4" s="500"/>
      <c r="G4" s="441"/>
      <c r="H4" s="441"/>
      <c r="I4" s="441"/>
      <c r="J4" s="441"/>
      <c r="K4" s="441"/>
      <c r="L4" s="447"/>
      <c r="Q4" s="419" t="s">
        <v>1656</v>
      </c>
    </row>
    <row r="5" spans="2:13" ht="12.75" customHeight="1">
      <c r="B5" s="501"/>
      <c r="C5" s="502"/>
      <c r="D5" s="503"/>
      <c r="E5" s="139"/>
      <c r="F5" s="504"/>
      <c r="G5" s="505"/>
      <c r="H5" s="505"/>
      <c r="I5" s="505"/>
      <c r="J5" s="505"/>
      <c r="K5" s="505"/>
      <c r="L5" s="506"/>
      <c r="M5" s="507"/>
    </row>
    <row r="6" spans="2:14" s="449" customFormat="1" ht="39" customHeight="1">
      <c r="B6" s="450"/>
      <c r="C6" s="451"/>
      <c r="D6" s="451"/>
      <c r="E6" s="508"/>
      <c r="F6" s="453" t="s">
        <v>751</v>
      </c>
      <c r="G6" s="454" t="s">
        <v>815</v>
      </c>
      <c r="H6" s="454" t="s">
        <v>816</v>
      </c>
      <c r="I6" s="454" t="s">
        <v>817</v>
      </c>
      <c r="J6" s="454" t="s">
        <v>755</v>
      </c>
      <c r="K6" s="454" t="s">
        <v>756</v>
      </c>
      <c r="L6" s="454" t="str">
        <f>"    Balance    "&amp;TEXT(Q4,"MMMM DD, YYYY")</f>
        <v>    Balance    June 30, 2004</v>
      </c>
      <c r="M6" s="509"/>
      <c r="N6" s="508"/>
    </row>
    <row r="7" spans="2:14" s="510" customFormat="1" ht="12.75" customHeight="1">
      <c r="B7" s="511" t="s">
        <v>818</v>
      </c>
      <c r="C7" s="512"/>
      <c r="D7" s="513"/>
      <c r="E7" s="514"/>
      <c r="F7" s="515"/>
      <c r="G7" s="516"/>
      <c r="H7" s="516"/>
      <c r="I7" s="516"/>
      <c r="J7" s="516"/>
      <c r="K7" s="516"/>
      <c r="L7" s="516"/>
      <c r="M7" s="517"/>
      <c r="N7" s="514"/>
    </row>
    <row r="8" ht="12.75" customHeight="1">
      <c r="C8" s="456" t="s">
        <v>819</v>
      </c>
    </row>
    <row r="9" spans="1:12" ht="12.75" outlineLevel="1">
      <c r="A9" s="419" t="s">
        <v>820</v>
      </c>
      <c r="C9" s="479"/>
      <c r="D9" s="457" t="s">
        <v>821</v>
      </c>
      <c r="E9" s="480" t="str">
        <f aca="true" t="shared" si="0" ref="E9:E72">UPPER(D9)</f>
        <v>BODINE UNRESTRICTED ENDOWMENT</v>
      </c>
      <c r="F9" s="462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</row>
    <row r="10" spans="1:12" ht="12.75" outlineLevel="1">
      <c r="A10" s="419" t="s">
        <v>822</v>
      </c>
      <c r="C10" s="479"/>
      <c r="D10" s="457" t="s">
        <v>823</v>
      </c>
      <c r="E10" s="480" t="str">
        <f t="shared" si="0"/>
        <v>ANHEUSER-BUSCH SCHP</v>
      </c>
      <c r="F10" s="465">
        <v>15519.44</v>
      </c>
      <c r="G10" s="474">
        <v>360</v>
      </c>
      <c r="H10" s="474">
        <v>-452.41</v>
      </c>
      <c r="I10" s="474">
        <v>2345.21</v>
      </c>
      <c r="J10" s="474">
        <v>0</v>
      </c>
      <c r="K10" s="474">
        <v>0</v>
      </c>
      <c r="L10" s="474">
        <f aca="true" t="shared" si="1" ref="L10:L73">F10+G10+H10+I10-J10+K10</f>
        <v>17772.24</v>
      </c>
    </row>
    <row r="11" spans="1:12" ht="12.75" outlineLevel="1">
      <c r="A11" s="419" t="s">
        <v>824</v>
      </c>
      <c r="C11" s="479"/>
      <c r="D11" s="457" t="s">
        <v>825</v>
      </c>
      <c r="E11" s="480" t="str">
        <f t="shared" si="0"/>
        <v>ASM - ST LOUIS SCHP</v>
      </c>
      <c r="F11" s="465">
        <v>28417.32</v>
      </c>
      <c r="G11" s="474">
        <v>0</v>
      </c>
      <c r="H11" s="474">
        <v>-847.33</v>
      </c>
      <c r="I11" s="474">
        <v>4283.28</v>
      </c>
      <c r="J11" s="474">
        <v>0</v>
      </c>
      <c r="K11" s="474">
        <v>0</v>
      </c>
      <c r="L11" s="474">
        <f t="shared" si="1"/>
        <v>31853.269999999997</v>
      </c>
    </row>
    <row r="12" spans="1:12" ht="12.75" outlineLevel="1">
      <c r="A12" s="419" t="s">
        <v>826</v>
      </c>
      <c r="C12" s="479"/>
      <c r="D12" s="457" t="s">
        <v>827</v>
      </c>
      <c r="E12" s="480" t="str">
        <f t="shared" si="0"/>
        <v>LEGACY SCHOLARSHIP</v>
      </c>
      <c r="F12" s="465">
        <v>19795.62</v>
      </c>
      <c r="G12" s="474">
        <v>65</v>
      </c>
      <c r="H12" s="474">
        <v>-589.45</v>
      </c>
      <c r="I12" s="474">
        <v>2985.17</v>
      </c>
      <c r="J12" s="474">
        <v>0</v>
      </c>
      <c r="K12" s="474">
        <v>0</v>
      </c>
      <c r="L12" s="474">
        <f t="shared" si="1"/>
        <v>22256.339999999997</v>
      </c>
    </row>
    <row r="13" spans="1:12" ht="12.75" outlineLevel="1">
      <c r="A13" s="419" t="s">
        <v>828</v>
      </c>
      <c r="C13" s="479"/>
      <c r="D13" s="457" t="s">
        <v>829</v>
      </c>
      <c r="E13" s="480" t="str">
        <f t="shared" si="0"/>
        <v>M B BABCOCK MEM FD</v>
      </c>
      <c r="F13" s="465">
        <v>10480.49</v>
      </c>
      <c r="G13" s="474">
        <v>0</v>
      </c>
      <c r="H13" s="474">
        <v>-42.99</v>
      </c>
      <c r="I13" s="474">
        <v>-573.91</v>
      </c>
      <c r="J13" s="474">
        <v>0</v>
      </c>
      <c r="K13" s="474">
        <v>0</v>
      </c>
      <c r="L13" s="474">
        <f t="shared" si="1"/>
        <v>9863.59</v>
      </c>
    </row>
    <row r="14" spans="1:12" ht="12.75" outlineLevel="1">
      <c r="A14" s="419" t="s">
        <v>830</v>
      </c>
      <c r="C14" s="479"/>
      <c r="D14" s="457" t="s">
        <v>831</v>
      </c>
      <c r="E14" s="480" t="str">
        <f t="shared" si="0"/>
        <v>BARNES EDUCATION SCH</v>
      </c>
      <c r="F14" s="465">
        <v>15256.88</v>
      </c>
      <c r="G14" s="474">
        <v>0</v>
      </c>
      <c r="H14" s="474">
        <v>-454.93</v>
      </c>
      <c r="I14" s="474">
        <v>2299.63</v>
      </c>
      <c r="J14" s="474">
        <v>0</v>
      </c>
      <c r="K14" s="474">
        <v>0</v>
      </c>
      <c r="L14" s="474">
        <f t="shared" si="1"/>
        <v>17101.579999999998</v>
      </c>
    </row>
    <row r="15" spans="1:12" ht="12.75" outlineLevel="1">
      <c r="A15" s="419" t="s">
        <v>832</v>
      </c>
      <c r="C15" s="479"/>
      <c r="D15" s="457" t="s">
        <v>833</v>
      </c>
      <c r="E15" s="480" t="str">
        <f t="shared" si="0"/>
        <v>L BARTON SCHP</v>
      </c>
      <c r="F15" s="465">
        <v>22147.54</v>
      </c>
      <c r="G15" s="474">
        <v>2400</v>
      </c>
      <c r="H15" s="474">
        <v>-611.38</v>
      </c>
      <c r="I15" s="474">
        <v>3382.36</v>
      </c>
      <c r="J15" s="474">
        <v>0</v>
      </c>
      <c r="K15" s="474">
        <v>0</v>
      </c>
      <c r="L15" s="474">
        <f t="shared" si="1"/>
        <v>27318.52</v>
      </c>
    </row>
    <row r="16" spans="1:12" ht="12.75" outlineLevel="1">
      <c r="A16" s="419" t="s">
        <v>834</v>
      </c>
      <c r="C16" s="479"/>
      <c r="D16" s="457" t="s">
        <v>835</v>
      </c>
      <c r="E16" s="480" t="str">
        <f t="shared" si="0"/>
        <v>NURSING ALUMNI SCHP</v>
      </c>
      <c r="F16" s="465">
        <v>64109.62</v>
      </c>
      <c r="G16" s="474">
        <v>1050</v>
      </c>
      <c r="H16" s="474">
        <v>-1903.84</v>
      </c>
      <c r="I16" s="474">
        <v>9675.3</v>
      </c>
      <c r="J16" s="474">
        <v>0</v>
      </c>
      <c r="K16" s="474">
        <v>0</v>
      </c>
      <c r="L16" s="474">
        <f t="shared" si="1"/>
        <v>72931.08</v>
      </c>
    </row>
    <row r="17" spans="1:12" ht="12.75" outlineLevel="1">
      <c r="A17" s="419" t="s">
        <v>836</v>
      </c>
      <c r="C17" s="479"/>
      <c r="D17" s="457" t="s">
        <v>837</v>
      </c>
      <c r="E17" s="480" t="str">
        <f t="shared" si="0"/>
        <v>BERAN SCHOLARSHIP</v>
      </c>
      <c r="F17" s="465">
        <v>36497.55</v>
      </c>
      <c r="G17" s="474">
        <v>400</v>
      </c>
      <c r="H17" s="474">
        <v>-1068.33</v>
      </c>
      <c r="I17" s="474">
        <v>5534.2</v>
      </c>
      <c r="J17" s="474">
        <v>0</v>
      </c>
      <c r="K17" s="474">
        <v>0</v>
      </c>
      <c r="L17" s="474">
        <f t="shared" si="1"/>
        <v>41363.42</v>
      </c>
    </row>
    <row r="18" spans="1:12" ht="12.75" outlineLevel="1">
      <c r="A18" s="419" t="s">
        <v>838</v>
      </c>
      <c r="C18" s="479"/>
      <c r="D18" s="457" t="s">
        <v>839</v>
      </c>
      <c r="E18" s="480" t="str">
        <f t="shared" si="0"/>
        <v>BELLINGRATH SCHP</v>
      </c>
      <c r="F18" s="465">
        <v>32411.66</v>
      </c>
      <c r="G18" s="474">
        <v>5000</v>
      </c>
      <c r="H18" s="474">
        <v>-639.32</v>
      </c>
      <c r="I18" s="474">
        <v>4902.01</v>
      </c>
      <c r="J18" s="474">
        <v>0</v>
      </c>
      <c r="K18" s="474">
        <v>0</v>
      </c>
      <c r="L18" s="474">
        <f t="shared" si="1"/>
        <v>41674.350000000006</v>
      </c>
    </row>
    <row r="19" spans="1:12" ht="12.75" outlineLevel="1">
      <c r="A19" s="419" t="s">
        <v>840</v>
      </c>
      <c r="C19" s="479"/>
      <c r="D19" s="457" t="s">
        <v>841</v>
      </c>
      <c r="E19" s="480" t="str">
        <f t="shared" si="0"/>
        <v>BRANAHL SCHOLARSHIP</v>
      </c>
      <c r="F19" s="465">
        <v>29193.11</v>
      </c>
      <c r="G19" s="474">
        <v>0</v>
      </c>
      <c r="H19" s="474">
        <v>-870.47</v>
      </c>
      <c r="I19" s="474">
        <v>4400.17</v>
      </c>
      <c r="J19" s="474">
        <v>0</v>
      </c>
      <c r="K19" s="474">
        <v>0</v>
      </c>
      <c r="L19" s="474">
        <f t="shared" si="1"/>
        <v>32722.809999999998</v>
      </c>
    </row>
    <row r="20" spans="1:12" ht="12.75" outlineLevel="1">
      <c r="A20" s="419" t="s">
        <v>842</v>
      </c>
      <c r="C20" s="479"/>
      <c r="D20" s="457" t="s">
        <v>843</v>
      </c>
      <c r="E20" s="480" t="str">
        <f t="shared" si="0"/>
        <v>BURNS HISTORY SCHOL</v>
      </c>
      <c r="F20" s="465">
        <v>19109.37</v>
      </c>
      <c r="G20" s="474">
        <v>500</v>
      </c>
      <c r="H20" s="474">
        <v>-539.89</v>
      </c>
      <c r="I20" s="474">
        <v>2907</v>
      </c>
      <c r="J20" s="474">
        <v>0</v>
      </c>
      <c r="K20" s="474">
        <v>0</v>
      </c>
      <c r="L20" s="474">
        <f t="shared" si="1"/>
        <v>21976.48</v>
      </c>
    </row>
    <row r="21" spans="1:12" ht="12.75" outlineLevel="1">
      <c r="A21" s="419" t="s">
        <v>844</v>
      </c>
      <c r="C21" s="479"/>
      <c r="D21" s="457" t="s">
        <v>845</v>
      </c>
      <c r="E21" s="480" t="str">
        <f t="shared" si="0"/>
        <v>CASSIDY MEM SCHP</v>
      </c>
      <c r="F21" s="465">
        <v>4405.9</v>
      </c>
      <c r="G21" s="474">
        <v>0</v>
      </c>
      <c r="H21" s="474">
        <v>-131.37</v>
      </c>
      <c r="I21" s="474">
        <v>664.09</v>
      </c>
      <c r="J21" s="474">
        <v>0</v>
      </c>
      <c r="K21" s="474">
        <v>0</v>
      </c>
      <c r="L21" s="474">
        <f t="shared" si="1"/>
        <v>4938.62</v>
      </c>
    </row>
    <row r="22" spans="1:12" ht="12.75" outlineLevel="1">
      <c r="A22" s="419" t="s">
        <v>846</v>
      </c>
      <c r="C22" s="479"/>
      <c r="D22" s="457" t="s">
        <v>847</v>
      </c>
      <c r="E22" s="480" t="str">
        <f t="shared" si="0"/>
        <v>CITIZEN'S COMMITTEE</v>
      </c>
      <c r="F22" s="465">
        <v>268404.33</v>
      </c>
      <c r="G22" s="474">
        <v>0</v>
      </c>
      <c r="H22" s="474">
        <v>-8003.22</v>
      </c>
      <c r="I22" s="474">
        <v>40455.7</v>
      </c>
      <c r="J22" s="474">
        <v>0</v>
      </c>
      <c r="K22" s="474">
        <v>0</v>
      </c>
      <c r="L22" s="474">
        <f t="shared" si="1"/>
        <v>300856.81</v>
      </c>
    </row>
    <row r="23" spans="1:12" ht="12.75" outlineLevel="1">
      <c r="A23" s="419" t="s">
        <v>848</v>
      </c>
      <c r="C23" s="479"/>
      <c r="D23" s="457" t="s">
        <v>849</v>
      </c>
      <c r="E23" s="480" t="str">
        <f t="shared" si="0"/>
        <v>LUCIA KRAMER COLLINS</v>
      </c>
      <c r="F23" s="465">
        <v>33386.8</v>
      </c>
      <c r="G23" s="474">
        <v>0</v>
      </c>
      <c r="H23" s="474">
        <v>-995.5</v>
      </c>
      <c r="I23" s="474">
        <v>5032.31</v>
      </c>
      <c r="J23" s="474">
        <v>0</v>
      </c>
      <c r="K23" s="474">
        <v>0</v>
      </c>
      <c r="L23" s="474">
        <f t="shared" si="1"/>
        <v>37423.61</v>
      </c>
    </row>
    <row r="24" spans="1:12" ht="12.75" outlineLevel="1">
      <c r="A24" s="419" t="s">
        <v>850</v>
      </c>
      <c r="C24" s="479"/>
      <c r="D24" s="457" t="s">
        <v>851</v>
      </c>
      <c r="E24" s="480" t="str">
        <f t="shared" si="0"/>
        <v>COOKE CHEMISTRY SCHL</v>
      </c>
      <c r="F24" s="465">
        <v>56324.36</v>
      </c>
      <c r="G24" s="474">
        <v>0</v>
      </c>
      <c r="H24" s="474">
        <v>-1679.46</v>
      </c>
      <c r="I24" s="474">
        <v>8489.58</v>
      </c>
      <c r="J24" s="474">
        <v>0</v>
      </c>
      <c r="K24" s="474">
        <v>0</v>
      </c>
      <c r="L24" s="474">
        <f t="shared" si="1"/>
        <v>63134.48</v>
      </c>
    </row>
    <row r="25" spans="1:12" ht="12.75" outlineLevel="1">
      <c r="A25" s="419" t="s">
        <v>852</v>
      </c>
      <c r="C25" s="479"/>
      <c r="D25" s="457" t="s">
        <v>853</v>
      </c>
      <c r="E25" s="480" t="str">
        <f t="shared" si="0"/>
        <v>JACK COX SCHP</v>
      </c>
      <c r="F25" s="465">
        <v>38931.08</v>
      </c>
      <c r="G25" s="474">
        <v>2000</v>
      </c>
      <c r="H25" s="474">
        <v>-1082.34</v>
      </c>
      <c r="I25" s="474">
        <v>5970.87</v>
      </c>
      <c r="J25" s="474">
        <v>0</v>
      </c>
      <c r="K25" s="474">
        <v>0</v>
      </c>
      <c r="L25" s="474">
        <f t="shared" si="1"/>
        <v>45819.61000000001</v>
      </c>
    </row>
    <row r="26" spans="1:12" ht="12.75" outlineLevel="1">
      <c r="A26" s="419" t="s">
        <v>854</v>
      </c>
      <c r="C26" s="479"/>
      <c r="D26" s="457" t="s">
        <v>855</v>
      </c>
      <c r="E26" s="480" t="str">
        <f t="shared" si="0"/>
        <v>DOYLE MEM FELLOW</v>
      </c>
      <c r="F26" s="465">
        <v>50424.25</v>
      </c>
      <c r="G26" s="474">
        <v>5500</v>
      </c>
      <c r="H26" s="474">
        <v>-1099.56</v>
      </c>
      <c r="I26" s="474">
        <v>8249.11</v>
      </c>
      <c r="J26" s="474">
        <v>0</v>
      </c>
      <c r="K26" s="474">
        <v>0</v>
      </c>
      <c r="L26" s="474">
        <f t="shared" si="1"/>
        <v>63073.8</v>
      </c>
    </row>
    <row r="27" spans="1:12" ht="12.75" outlineLevel="1">
      <c r="A27" s="419" t="s">
        <v>856</v>
      </c>
      <c r="C27" s="479"/>
      <c r="D27" s="457" t="s">
        <v>857</v>
      </c>
      <c r="E27" s="480" t="str">
        <f t="shared" si="0"/>
        <v>ERNST &amp; YOUNG SCHP</v>
      </c>
      <c r="F27" s="465">
        <v>33711.47</v>
      </c>
      <c r="G27" s="474">
        <v>550</v>
      </c>
      <c r="H27" s="474">
        <v>-970.98</v>
      </c>
      <c r="I27" s="474">
        <v>5120.96</v>
      </c>
      <c r="J27" s="474">
        <v>0</v>
      </c>
      <c r="K27" s="474">
        <v>0</v>
      </c>
      <c r="L27" s="474">
        <f t="shared" si="1"/>
        <v>38411.45</v>
      </c>
    </row>
    <row r="28" spans="1:12" ht="12.75" outlineLevel="1">
      <c r="A28" s="419" t="s">
        <v>858</v>
      </c>
      <c r="C28" s="479"/>
      <c r="D28" s="457" t="s">
        <v>859</v>
      </c>
      <c r="E28" s="480" t="str">
        <f t="shared" si="0"/>
        <v>FISHMAN ADJ SCHP</v>
      </c>
      <c r="F28" s="465">
        <v>22740.44</v>
      </c>
      <c r="G28" s="474">
        <v>0</v>
      </c>
      <c r="H28" s="474">
        <v>-678.07</v>
      </c>
      <c r="I28" s="474">
        <v>3427.58</v>
      </c>
      <c r="J28" s="474">
        <v>0</v>
      </c>
      <c r="K28" s="474">
        <v>0</v>
      </c>
      <c r="L28" s="474">
        <f t="shared" si="1"/>
        <v>25489.949999999997</v>
      </c>
    </row>
    <row r="29" spans="1:12" ht="12.75" outlineLevel="1">
      <c r="A29" s="419" t="s">
        <v>860</v>
      </c>
      <c r="C29" s="479"/>
      <c r="D29" s="457" t="s">
        <v>861</v>
      </c>
      <c r="E29" s="480" t="str">
        <f t="shared" si="0"/>
        <v>GRANGER BIOLOGY AWD</v>
      </c>
      <c r="F29" s="465">
        <v>33869.31</v>
      </c>
      <c r="G29" s="474">
        <v>0</v>
      </c>
      <c r="H29" s="474">
        <v>-806.82</v>
      </c>
      <c r="I29" s="474">
        <v>5397.45</v>
      </c>
      <c r="J29" s="474">
        <v>0</v>
      </c>
      <c r="K29" s="474">
        <v>0</v>
      </c>
      <c r="L29" s="474">
        <f t="shared" si="1"/>
        <v>38459.939999999995</v>
      </c>
    </row>
    <row r="30" spans="1:12" ht="12.75" outlineLevel="1">
      <c r="A30" s="419" t="s">
        <v>862</v>
      </c>
      <c r="C30" s="479"/>
      <c r="D30" s="457" t="s">
        <v>863</v>
      </c>
      <c r="E30" s="480" t="str">
        <f t="shared" si="0"/>
        <v>MINDY GRIFFIN SCHP</v>
      </c>
      <c r="F30" s="465">
        <v>13217.28</v>
      </c>
      <c r="G30" s="474">
        <v>0</v>
      </c>
      <c r="H30" s="474">
        <v>-394.12</v>
      </c>
      <c r="I30" s="474">
        <v>1992.17</v>
      </c>
      <c r="J30" s="474">
        <v>0</v>
      </c>
      <c r="K30" s="474">
        <v>0</v>
      </c>
      <c r="L30" s="474">
        <f t="shared" si="1"/>
        <v>14815.33</v>
      </c>
    </row>
    <row r="31" spans="1:12" ht="12.75" outlineLevel="1">
      <c r="A31" s="419" t="s">
        <v>864</v>
      </c>
      <c r="C31" s="479"/>
      <c r="D31" s="457" t="s">
        <v>865</v>
      </c>
      <c r="E31" s="480" t="str">
        <f t="shared" si="0"/>
        <v>A GROBMAN END SHP FD</v>
      </c>
      <c r="F31" s="465">
        <v>24944.74</v>
      </c>
      <c r="G31" s="474">
        <v>125</v>
      </c>
      <c r="H31" s="474">
        <v>-740.92</v>
      </c>
      <c r="I31" s="474">
        <v>3765.63</v>
      </c>
      <c r="J31" s="474">
        <v>0</v>
      </c>
      <c r="K31" s="474">
        <v>0</v>
      </c>
      <c r="L31" s="474">
        <f t="shared" si="1"/>
        <v>28094.450000000004</v>
      </c>
    </row>
    <row r="32" spans="1:12" ht="12.75" outlineLevel="1">
      <c r="A32" s="419" t="s">
        <v>866</v>
      </c>
      <c r="C32" s="479"/>
      <c r="D32" s="457" t="s">
        <v>867</v>
      </c>
      <c r="E32" s="480" t="str">
        <f t="shared" si="0"/>
        <v>FRIENDS OF GROVE SCH</v>
      </c>
      <c r="F32" s="465">
        <v>44608.43</v>
      </c>
      <c r="G32" s="474">
        <v>0</v>
      </c>
      <c r="H32" s="474">
        <v>-1330.12</v>
      </c>
      <c r="I32" s="474">
        <v>6723.67</v>
      </c>
      <c r="J32" s="474">
        <v>0</v>
      </c>
      <c r="K32" s="474">
        <v>0</v>
      </c>
      <c r="L32" s="474">
        <f t="shared" si="1"/>
        <v>50001.979999999996</v>
      </c>
    </row>
    <row r="33" spans="1:12" ht="12.75" outlineLevel="1">
      <c r="A33" s="419" t="s">
        <v>868</v>
      </c>
      <c r="C33" s="479"/>
      <c r="D33" s="457" t="s">
        <v>869</v>
      </c>
      <c r="E33" s="480" t="str">
        <f t="shared" si="0"/>
        <v>FRIENDS SCHOLAR FUND</v>
      </c>
      <c r="F33" s="465">
        <v>67430.15</v>
      </c>
      <c r="G33" s="474">
        <v>0</v>
      </c>
      <c r="H33" s="474">
        <v>-1950.87</v>
      </c>
      <c r="I33" s="474">
        <v>10704.53</v>
      </c>
      <c r="J33" s="474">
        <v>0</v>
      </c>
      <c r="K33" s="474">
        <v>0</v>
      </c>
      <c r="L33" s="474">
        <f t="shared" si="1"/>
        <v>76183.81</v>
      </c>
    </row>
    <row r="34" spans="1:12" ht="12.75" outlineLevel="1">
      <c r="A34" s="419" t="s">
        <v>870</v>
      </c>
      <c r="C34" s="479"/>
      <c r="D34" s="457" t="s">
        <v>871</v>
      </c>
      <c r="E34" s="480" t="str">
        <f t="shared" si="0"/>
        <v>FRITSCHE SCHP</v>
      </c>
      <c r="F34" s="465">
        <v>23160.35</v>
      </c>
      <c r="G34" s="474">
        <v>337.5</v>
      </c>
      <c r="H34" s="474">
        <v>-681.18</v>
      </c>
      <c r="I34" s="474">
        <v>3509.32</v>
      </c>
      <c r="J34" s="474">
        <v>0</v>
      </c>
      <c r="K34" s="474">
        <v>0</v>
      </c>
      <c r="L34" s="474">
        <f t="shared" si="1"/>
        <v>26325.989999999998</v>
      </c>
    </row>
    <row r="35" spans="1:12" ht="12.75" outlineLevel="1">
      <c r="A35" s="419" t="s">
        <v>872</v>
      </c>
      <c r="C35" s="479"/>
      <c r="D35" s="457" t="s">
        <v>873</v>
      </c>
      <c r="E35" s="480" t="str">
        <f t="shared" si="0"/>
        <v>HASKELL ACCTG SCHOL</v>
      </c>
      <c r="F35" s="465">
        <v>16486.6</v>
      </c>
      <c r="G35" s="474">
        <v>0</v>
      </c>
      <c r="H35" s="474">
        <v>-491.58</v>
      </c>
      <c r="I35" s="474">
        <v>2484.98</v>
      </c>
      <c r="J35" s="474">
        <v>0</v>
      </c>
      <c r="K35" s="474">
        <v>0</v>
      </c>
      <c r="L35" s="474">
        <f t="shared" si="1"/>
        <v>18480</v>
      </c>
    </row>
    <row r="36" spans="1:12" ht="12.75" outlineLevel="1">
      <c r="A36" s="419" t="s">
        <v>874</v>
      </c>
      <c r="C36" s="479"/>
      <c r="D36" s="457" t="s">
        <v>875</v>
      </c>
      <c r="E36" s="480" t="str">
        <f t="shared" si="0"/>
        <v>RICK GEORGE SCHP</v>
      </c>
      <c r="F36" s="465">
        <v>16402.93</v>
      </c>
      <c r="G36" s="474">
        <v>150</v>
      </c>
      <c r="H36" s="474">
        <v>-483.87</v>
      </c>
      <c r="I36" s="474">
        <v>2480.42</v>
      </c>
      <c r="J36" s="474">
        <v>0</v>
      </c>
      <c r="K36" s="474">
        <v>0</v>
      </c>
      <c r="L36" s="474">
        <f t="shared" si="1"/>
        <v>18549.48</v>
      </c>
    </row>
    <row r="37" spans="1:12" ht="12.75" outlineLevel="1">
      <c r="A37" s="419" t="s">
        <v>876</v>
      </c>
      <c r="C37" s="479"/>
      <c r="D37" s="457" t="s">
        <v>877</v>
      </c>
      <c r="E37" s="480" t="str">
        <f t="shared" si="0"/>
        <v>HELLENIC/KARAKAS SCH</v>
      </c>
      <c r="F37" s="465">
        <v>18540.68</v>
      </c>
      <c r="G37" s="474">
        <v>0</v>
      </c>
      <c r="H37" s="474">
        <v>-551.46</v>
      </c>
      <c r="I37" s="474">
        <v>2797.82</v>
      </c>
      <c r="J37" s="474">
        <v>0</v>
      </c>
      <c r="K37" s="474">
        <v>250</v>
      </c>
      <c r="L37" s="474">
        <f t="shared" si="1"/>
        <v>21037.04</v>
      </c>
    </row>
    <row r="38" spans="1:12" ht="12.75" outlineLevel="1">
      <c r="A38" s="419" t="s">
        <v>878</v>
      </c>
      <c r="C38" s="479"/>
      <c r="D38" s="457" t="s">
        <v>879</v>
      </c>
      <c r="E38" s="480" t="str">
        <f t="shared" si="0"/>
        <v>MARY GILBERT SCHP</v>
      </c>
      <c r="F38" s="465">
        <v>8924.87</v>
      </c>
      <c r="G38" s="474">
        <v>0</v>
      </c>
      <c r="H38" s="474">
        <v>-266.12</v>
      </c>
      <c r="I38" s="474">
        <v>1345.23</v>
      </c>
      <c r="J38" s="474">
        <v>0</v>
      </c>
      <c r="K38" s="474">
        <v>0</v>
      </c>
      <c r="L38" s="474">
        <f t="shared" si="1"/>
        <v>10003.98</v>
      </c>
    </row>
    <row r="39" spans="1:12" ht="12.75" outlineLevel="1">
      <c r="A39" s="419" t="s">
        <v>880</v>
      </c>
      <c r="C39" s="479"/>
      <c r="D39" s="457" t="s">
        <v>881</v>
      </c>
      <c r="E39" s="480" t="str">
        <f t="shared" si="0"/>
        <v>GUSTAFSON SCHP</v>
      </c>
      <c r="F39" s="465">
        <v>14007.6</v>
      </c>
      <c r="G39" s="474">
        <v>50</v>
      </c>
      <c r="H39" s="474">
        <v>-415.6</v>
      </c>
      <c r="I39" s="474">
        <v>2115.9</v>
      </c>
      <c r="J39" s="474">
        <v>0</v>
      </c>
      <c r="K39" s="474">
        <v>0</v>
      </c>
      <c r="L39" s="474">
        <f t="shared" si="1"/>
        <v>15757.9</v>
      </c>
    </row>
    <row r="40" spans="1:12" ht="12.75" outlineLevel="1">
      <c r="A40" s="419" t="s">
        <v>882</v>
      </c>
      <c r="C40" s="479"/>
      <c r="D40" s="457" t="s">
        <v>883</v>
      </c>
      <c r="E40" s="480" t="str">
        <f t="shared" si="0"/>
        <v>GRAD BUSINESS SCHP</v>
      </c>
      <c r="F40" s="465">
        <v>10244.15</v>
      </c>
      <c r="G40" s="474">
        <v>0</v>
      </c>
      <c r="H40" s="474">
        <v>-305.46</v>
      </c>
      <c r="I40" s="474">
        <v>1544.08</v>
      </c>
      <c r="J40" s="474">
        <v>0</v>
      </c>
      <c r="K40" s="474">
        <v>0</v>
      </c>
      <c r="L40" s="474">
        <f t="shared" si="1"/>
        <v>11482.77</v>
      </c>
    </row>
    <row r="41" spans="1:12" ht="12.75" outlineLevel="1">
      <c r="A41" s="419" t="s">
        <v>884</v>
      </c>
      <c r="C41" s="479"/>
      <c r="D41" s="457" t="s">
        <v>885</v>
      </c>
      <c r="E41" s="480" t="str">
        <f t="shared" si="0"/>
        <v>HOOK MEM SCHP</v>
      </c>
      <c r="F41" s="465">
        <v>31222.69</v>
      </c>
      <c r="G41" s="474">
        <v>383</v>
      </c>
      <c r="H41" s="474">
        <v>-873.3</v>
      </c>
      <c r="I41" s="474">
        <v>4738.22</v>
      </c>
      <c r="J41" s="474">
        <v>0</v>
      </c>
      <c r="K41" s="474">
        <v>0</v>
      </c>
      <c r="L41" s="474">
        <f t="shared" si="1"/>
        <v>35470.61</v>
      </c>
    </row>
    <row r="42" spans="1:12" ht="12.75" outlineLevel="1">
      <c r="A42" s="419" t="s">
        <v>886</v>
      </c>
      <c r="C42" s="479"/>
      <c r="D42" s="457" t="s">
        <v>887</v>
      </c>
      <c r="E42" s="480" t="str">
        <f t="shared" si="0"/>
        <v>ELIS HORKITS SCH FD</v>
      </c>
      <c r="F42" s="465">
        <v>16690.8</v>
      </c>
      <c r="G42" s="474">
        <v>0</v>
      </c>
      <c r="H42" s="474">
        <v>-499.09</v>
      </c>
      <c r="I42" s="474">
        <v>2472.05</v>
      </c>
      <c r="J42" s="474">
        <v>0</v>
      </c>
      <c r="K42" s="474">
        <v>-2400</v>
      </c>
      <c r="L42" s="474">
        <f t="shared" si="1"/>
        <v>16263.759999999998</v>
      </c>
    </row>
    <row r="43" spans="1:12" ht="12.75" outlineLevel="1">
      <c r="A43" s="419" t="s">
        <v>888</v>
      </c>
      <c r="C43" s="479"/>
      <c r="D43" s="457" t="s">
        <v>889</v>
      </c>
      <c r="E43" s="480" t="str">
        <f t="shared" si="0"/>
        <v>PW &amp; HM GOODE SCHOL</v>
      </c>
      <c r="F43" s="465">
        <v>46429.83</v>
      </c>
      <c r="G43" s="474">
        <v>0</v>
      </c>
      <c r="H43" s="474">
        <v>-1384.43</v>
      </c>
      <c r="I43" s="474">
        <v>6998.25</v>
      </c>
      <c r="J43" s="474">
        <v>0</v>
      </c>
      <c r="K43" s="474">
        <v>0</v>
      </c>
      <c r="L43" s="474">
        <f t="shared" si="1"/>
        <v>52043.65</v>
      </c>
    </row>
    <row r="44" spans="1:12" ht="12.75" outlineLevel="1">
      <c r="A44" s="419" t="s">
        <v>890</v>
      </c>
      <c r="C44" s="479"/>
      <c r="D44" s="457" t="s">
        <v>891</v>
      </c>
      <c r="E44" s="480" t="str">
        <f t="shared" si="0"/>
        <v>W M ISBELL SCHOLAR</v>
      </c>
      <c r="F44" s="465">
        <v>35396.42</v>
      </c>
      <c r="G44" s="474">
        <v>0</v>
      </c>
      <c r="H44" s="474">
        <v>-1055.43</v>
      </c>
      <c r="I44" s="474">
        <v>5335.18</v>
      </c>
      <c r="J44" s="474">
        <v>0</v>
      </c>
      <c r="K44" s="474">
        <v>0</v>
      </c>
      <c r="L44" s="474">
        <f t="shared" si="1"/>
        <v>39676.17</v>
      </c>
    </row>
    <row r="45" spans="1:12" ht="12.75" outlineLevel="1">
      <c r="A45" s="419" t="s">
        <v>892</v>
      </c>
      <c r="C45" s="479"/>
      <c r="D45" s="457" t="s">
        <v>893</v>
      </c>
      <c r="E45" s="480" t="str">
        <f t="shared" si="0"/>
        <v>WILLIAM JACKSON SCHP</v>
      </c>
      <c r="F45" s="465">
        <v>329361.18</v>
      </c>
      <c r="G45" s="474">
        <v>0</v>
      </c>
      <c r="H45" s="474">
        <v>-9820.81</v>
      </c>
      <c r="I45" s="474">
        <v>49643.51</v>
      </c>
      <c r="J45" s="474">
        <v>0</v>
      </c>
      <c r="K45" s="474">
        <v>0</v>
      </c>
      <c r="L45" s="474">
        <f t="shared" si="1"/>
        <v>369183.88</v>
      </c>
    </row>
    <row r="46" spans="1:12" ht="12.75" outlineLevel="1">
      <c r="A46" s="419" t="s">
        <v>894</v>
      </c>
      <c r="C46" s="479"/>
      <c r="D46" s="457" t="s">
        <v>895</v>
      </c>
      <c r="E46" s="480" t="str">
        <f t="shared" si="0"/>
        <v>JENNINGS DO-DADS SCH</v>
      </c>
      <c r="F46" s="465">
        <v>61380.52</v>
      </c>
      <c r="G46" s="474">
        <v>5800</v>
      </c>
      <c r="H46" s="474">
        <v>-1513.72</v>
      </c>
      <c r="I46" s="474">
        <v>9641.51</v>
      </c>
      <c r="J46" s="474">
        <v>0</v>
      </c>
      <c r="K46" s="474">
        <v>0</v>
      </c>
      <c r="L46" s="474">
        <f t="shared" si="1"/>
        <v>75308.30999999998</v>
      </c>
    </row>
    <row r="47" spans="1:12" ht="12.75" outlineLevel="1">
      <c r="A47" s="419" t="s">
        <v>896</v>
      </c>
      <c r="C47" s="479"/>
      <c r="D47" s="457" t="s">
        <v>897</v>
      </c>
      <c r="E47" s="480" t="str">
        <f t="shared" si="0"/>
        <v>BUCK SCHOLARSHIP</v>
      </c>
      <c r="F47" s="465">
        <v>14010</v>
      </c>
      <c r="G47" s="474">
        <v>25</v>
      </c>
      <c r="H47" s="474">
        <v>-417.14</v>
      </c>
      <c r="I47" s="474">
        <v>2113.13</v>
      </c>
      <c r="J47" s="474">
        <v>0</v>
      </c>
      <c r="K47" s="474">
        <v>0</v>
      </c>
      <c r="L47" s="474">
        <f t="shared" si="1"/>
        <v>15730.990000000002</v>
      </c>
    </row>
    <row r="48" spans="1:12" ht="12.75" outlineLevel="1">
      <c r="A48" s="419" t="s">
        <v>898</v>
      </c>
      <c r="C48" s="479"/>
      <c r="D48" s="457" t="s">
        <v>899</v>
      </c>
      <c r="E48" s="480" t="str">
        <f t="shared" si="0"/>
        <v>KNAPP MEM SCHP</v>
      </c>
      <c r="F48" s="465">
        <v>22547.55</v>
      </c>
      <c r="G48" s="474">
        <v>0</v>
      </c>
      <c r="H48" s="474">
        <v>-672.32</v>
      </c>
      <c r="I48" s="474">
        <v>3398.53</v>
      </c>
      <c r="J48" s="474">
        <v>0</v>
      </c>
      <c r="K48" s="474">
        <v>0</v>
      </c>
      <c r="L48" s="474">
        <f t="shared" si="1"/>
        <v>25273.76</v>
      </c>
    </row>
    <row r="49" spans="1:12" ht="12.75" outlineLevel="1">
      <c r="A49" s="419" t="s">
        <v>900</v>
      </c>
      <c r="C49" s="479"/>
      <c r="D49" s="457" t="s">
        <v>901</v>
      </c>
      <c r="E49" s="480" t="str">
        <f t="shared" si="0"/>
        <v>KOETTING SCHOLARSHIP</v>
      </c>
      <c r="F49" s="465">
        <v>36109.25</v>
      </c>
      <c r="G49" s="474">
        <v>0</v>
      </c>
      <c r="H49" s="474">
        <v>-1076.71</v>
      </c>
      <c r="I49" s="474">
        <v>5442.64</v>
      </c>
      <c r="J49" s="474">
        <v>0</v>
      </c>
      <c r="K49" s="474">
        <v>0</v>
      </c>
      <c r="L49" s="474">
        <f t="shared" si="1"/>
        <v>40475.18</v>
      </c>
    </row>
    <row r="50" spans="1:12" ht="12.75" outlineLevel="1">
      <c r="A50" s="419" t="s">
        <v>902</v>
      </c>
      <c r="C50" s="479"/>
      <c r="D50" s="457" t="s">
        <v>903</v>
      </c>
      <c r="E50" s="480" t="str">
        <f t="shared" si="0"/>
        <v>HAZEL L KOHRING SCH</v>
      </c>
      <c r="F50" s="465">
        <v>46952.26</v>
      </c>
      <c r="G50" s="474">
        <v>1225</v>
      </c>
      <c r="H50" s="474">
        <v>-1317.43</v>
      </c>
      <c r="I50" s="474">
        <v>7065.73</v>
      </c>
      <c r="J50" s="474">
        <v>0</v>
      </c>
      <c r="K50" s="474">
        <v>0</v>
      </c>
      <c r="L50" s="474">
        <f t="shared" si="1"/>
        <v>53925.56</v>
      </c>
    </row>
    <row r="51" spans="1:12" ht="12.75" outlineLevel="1">
      <c r="A51" s="419" t="s">
        <v>904</v>
      </c>
      <c r="C51" s="479"/>
      <c r="D51" s="457" t="s">
        <v>905</v>
      </c>
      <c r="E51" s="480" t="str">
        <f t="shared" si="0"/>
        <v>LONGINETTE SCHP</v>
      </c>
      <c r="F51" s="465">
        <v>10006.07</v>
      </c>
      <c r="G51" s="474">
        <v>0</v>
      </c>
      <c r="H51" s="474">
        <v>-298.35</v>
      </c>
      <c r="I51" s="474">
        <v>1508.2</v>
      </c>
      <c r="J51" s="474">
        <v>0</v>
      </c>
      <c r="K51" s="474">
        <v>0</v>
      </c>
      <c r="L51" s="474">
        <f t="shared" si="1"/>
        <v>11215.92</v>
      </c>
    </row>
    <row r="52" spans="1:13" ht="12.75" outlineLevel="1">
      <c r="A52" s="419" t="s">
        <v>906</v>
      </c>
      <c r="C52" s="479"/>
      <c r="D52" s="457" t="s">
        <v>907</v>
      </c>
      <c r="E52" s="445" t="str">
        <f t="shared" si="0"/>
        <v>LOPATA AWARD</v>
      </c>
      <c r="F52" s="473">
        <v>127607.55</v>
      </c>
      <c r="G52" s="474">
        <v>0</v>
      </c>
      <c r="H52" s="474">
        <v>-3698.4</v>
      </c>
      <c r="I52" s="474">
        <v>19463.51</v>
      </c>
      <c r="J52" s="474">
        <v>0</v>
      </c>
      <c r="K52" s="474">
        <v>0</v>
      </c>
      <c r="L52" s="474">
        <f t="shared" si="1"/>
        <v>143372.66</v>
      </c>
      <c r="M52" s="479"/>
    </row>
    <row r="53" spans="1:13" ht="12.75" outlineLevel="1">
      <c r="A53" s="419" t="s">
        <v>908</v>
      </c>
      <c r="D53" s="457" t="s">
        <v>909</v>
      </c>
      <c r="E53" s="445" t="str">
        <f t="shared" si="0"/>
        <v>LOPATA SCHOLARSHIP</v>
      </c>
      <c r="F53" s="473">
        <v>51196</v>
      </c>
      <c r="G53" s="474">
        <v>0</v>
      </c>
      <c r="H53" s="474">
        <v>-1526.55</v>
      </c>
      <c r="I53" s="474">
        <v>7716.61</v>
      </c>
      <c r="J53" s="474">
        <v>0</v>
      </c>
      <c r="K53" s="474">
        <v>0</v>
      </c>
      <c r="L53" s="474">
        <f t="shared" si="1"/>
        <v>57386.06</v>
      </c>
      <c r="M53" s="457"/>
    </row>
    <row r="54" spans="1:14" s="519" customFormat="1" ht="12.75" outlineLevel="1">
      <c r="A54" s="519" t="s">
        <v>910</v>
      </c>
      <c r="B54" s="520"/>
      <c r="C54" s="479"/>
      <c r="D54" s="479" t="s">
        <v>911</v>
      </c>
      <c r="E54" s="521" t="str">
        <f t="shared" si="0"/>
        <v>MALLINCKRODT SCHP</v>
      </c>
      <c r="F54" s="522">
        <v>24896.28</v>
      </c>
      <c r="G54" s="523">
        <v>0</v>
      </c>
      <c r="H54" s="523">
        <v>-742.36</v>
      </c>
      <c r="I54" s="523">
        <v>3752.54</v>
      </c>
      <c r="J54" s="523">
        <v>0</v>
      </c>
      <c r="K54" s="523">
        <v>0</v>
      </c>
      <c r="L54" s="523">
        <f t="shared" si="1"/>
        <v>27906.46</v>
      </c>
      <c r="M54" s="481"/>
      <c r="N54" s="524"/>
    </row>
    <row r="55" spans="1:12" ht="12.75" outlineLevel="1">
      <c r="A55" s="419" t="s">
        <v>912</v>
      </c>
      <c r="C55" s="479"/>
      <c r="D55" s="457" t="s">
        <v>913</v>
      </c>
      <c r="E55" s="480" t="str">
        <f t="shared" si="0"/>
        <v>SHARON MARGLOUS SCHL</v>
      </c>
      <c r="F55" s="465">
        <v>17228.3</v>
      </c>
      <c r="G55" s="474">
        <v>25</v>
      </c>
      <c r="H55" s="474">
        <v>-512.78</v>
      </c>
      <c r="I55" s="474">
        <v>2598.36</v>
      </c>
      <c r="J55" s="474">
        <v>0</v>
      </c>
      <c r="K55" s="474">
        <v>0</v>
      </c>
      <c r="L55" s="474">
        <f t="shared" si="1"/>
        <v>19338.88</v>
      </c>
    </row>
    <row r="56" spans="1:12" ht="12.75" outlineLevel="1">
      <c r="A56" s="419" t="s">
        <v>914</v>
      </c>
      <c r="C56" s="479"/>
      <c r="D56" s="457" t="s">
        <v>915</v>
      </c>
      <c r="E56" s="480" t="str">
        <f t="shared" si="0"/>
        <v>ARTHUR MAYER MEM SCH</v>
      </c>
      <c r="F56" s="465">
        <v>18482.75</v>
      </c>
      <c r="G56" s="474">
        <v>0</v>
      </c>
      <c r="H56" s="474">
        <v>-548.71</v>
      </c>
      <c r="I56" s="474">
        <v>2799.88</v>
      </c>
      <c r="J56" s="474">
        <v>0</v>
      </c>
      <c r="K56" s="474">
        <v>0</v>
      </c>
      <c r="L56" s="474">
        <f t="shared" si="1"/>
        <v>20733.920000000002</v>
      </c>
    </row>
    <row r="57" spans="1:12" ht="12.75" outlineLevel="1">
      <c r="A57" s="419" t="s">
        <v>916</v>
      </c>
      <c r="C57" s="479"/>
      <c r="D57" s="457" t="s">
        <v>917</v>
      </c>
      <c r="E57" s="480" t="str">
        <f t="shared" si="0"/>
        <v>MAY SCHOLARSHIPS</v>
      </c>
      <c r="F57" s="465">
        <v>545393.32</v>
      </c>
      <c r="G57" s="474">
        <v>0</v>
      </c>
      <c r="H57" s="474">
        <v>-16262.42</v>
      </c>
      <c r="I57" s="474">
        <v>82205.3</v>
      </c>
      <c r="J57" s="474">
        <v>0</v>
      </c>
      <c r="K57" s="474">
        <v>0</v>
      </c>
      <c r="L57" s="474">
        <f t="shared" si="1"/>
        <v>611336.2</v>
      </c>
    </row>
    <row r="58" spans="1:12" ht="12.75" outlineLevel="1">
      <c r="A58" s="419" t="s">
        <v>918</v>
      </c>
      <c r="C58" s="479"/>
      <c r="D58" s="457" t="s">
        <v>919</v>
      </c>
      <c r="E58" s="480" t="str">
        <f t="shared" si="0"/>
        <v>MASON FAMILY SCHP</v>
      </c>
      <c r="F58" s="465">
        <v>12136.47</v>
      </c>
      <c r="G58" s="474">
        <v>0</v>
      </c>
      <c r="H58" s="474">
        <v>-361.88</v>
      </c>
      <c r="I58" s="474">
        <v>1829.31</v>
      </c>
      <c r="J58" s="474">
        <v>0</v>
      </c>
      <c r="K58" s="474">
        <v>0</v>
      </c>
      <c r="L58" s="474">
        <f t="shared" si="1"/>
        <v>13603.9</v>
      </c>
    </row>
    <row r="59" spans="1:12" ht="12.75" outlineLevel="1">
      <c r="A59" s="419" t="s">
        <v>920</v>
      </c>
      <c r="C59" s="479"/>
      <c r="D59" s="457" t="s">
        <v>921</v>
      </c>
      <c r="E59" s="480" t="str">
        <f t="shared" si="0"/>
        <v>MCADAM SCHP FUND</v>
      </c>
      <c r="F59" s="465">
        <v>31494.39</v>
      </c>
      <c r="G59" s="474">
        <v>0</v>
      </c>
      <c r="H59" s="474">
        <v>-939.09</v>
      </c>
      <c r="I59" s="474">
        <v>4747.08</v>
      </c>
      <c r="J59" s="474">
        <v>0</v>
      </c>
      <c r="K59" s="474">
        <v>0</v>
      </c>
      <c r="L59" s="474">
        <f t="shared" si="1"/>
        <v>35302.38</v>
      </c>
    </row>
    <row r="60" spans="1:12" ht="12.75" outlineLevel="1">
      <c r="A60" s="419" t="s">
        <v>922</v>
      </c>
      <c r="C60" s="479"/>
      <c r="D60" s="457" t="s">
        <v>923</v>
      </c>
      <c r="E60" s="480" t="str">
        <f t="shared" si="0"/>
        <v>MCDONOUGH SCHP</v>
      </c>
      <c r="F60" s="465">
        <v>42088.04</v>
      </c>
      <c r="G60" s="474">
        <v>25</v>
      </c>
      <c r="H60" s="474">
        <v>-1236.49</v>
      </c>
      <c r="I60" s="474">
        <v>6389.12</v>
      </c>
      <c r="J60" s="474">
        <v>0</v>
      </c>
      <c r="K60" s="474">
        <v>0</v>
      </c>
      <c r="L60" s="474">
        <f t="shared" si="1"/>
        <v>47265.670000000006</v>
      </c>
    </row>
    <row r="61" spans="1:12" ht="12.75" outlineLevel="1">
      <c r="A61" s="419" t="s">
        <v>924</v>
      </c>
      <c r="C61" s="479"/>
      <c r="D61" s="457" t="s">
        <v>925</v>
      </c>
      <c r="E61" s="480" t="str">
        <f t="shared" si="0"/>
        <v>STAN MUSIAL SCHOLAR</v>
      </c>
      <c r="F61" s="465">
        <v>18160.07</v>
      </c>
      <c r="G61" s="474">
        <v>1000</v>
      </c>
      <c r="H61" s="474">
        <v>-526.33</v>
      </c>
      <c r="I61" s="474">
        <v>2791.18</v>
      </c>
      <c r="J61" s="474">
        <v>0</v>
      </c>
      <c r="K61" s="474">
        <v>0</v>
      </c>
      <c r="L61" s="474">
        <f t="shared" si="1"/>
        <v>21424.92</v>
      </c>
    </row>
    <row r="62" spans="1:12" ht="12.75" outlineLevel="1">
      <c r="A62" s="419" t="s">
        <v>926</v>
      </c>
      <c r="C62" s="479"/>
      <c r="D62" s="457" t="s">
        <v>927</v>
      </c>
      <c r="E62" s="480" t="str">
        <f t="shared" si="0"/>
        <v>MONXMODE FUND</v>
      </c>
      <c r="F62" s="465">
        <v>52204.03</v>
      </c>
      <c r="G62" s="474">
        <v>0</v>
      </c>
      <c r="H62" s="474">
        <v>-1556.6</v>
      </c>
      <c r="I62" s="474">
        <v>7868.53</v>
      </c>
      <c r="J62" s="474">
        <v>0</v>
      </c>
      <c r="K62" s="474">
        <v>0</v>
      </c>
      <c r="L62" s="474">
        <f t="shared" si="1"/>
        <v>58515.96</v>
      </c>
    </row>
    <row r="63" spans="1:12" ht="12.75" outlineLevel="1">
      <c r="A63" s="419" t="s">
        <v>928</v>
      </c>
      <c r="C63" s="479"/>
      <c r="D63" s="457" t="s">
        <v>929</v>
      </c>
      <c r="E63" s="480" t="str">
        <f t="shared" si="0"/>
        <v>NOEL K MAHR SCHP</v>
      </c>
      <c r="F63" s="465">
        <v>13401.24</v>
      </c>
      <c r="G63" s="474">
        <v>500</v>
      </c>
      <c r="H63" s="474">
        <v>-395.66</v>
      </c>
      <c r="I63" s="474">
        <v>2015.67</v>
      </c>
      <c r="J63" s="474">
        <v>0</v>
      </c>
      <c r="K63" s="474">
        <v>0</v>
      </c>
      <c r="L63" s="474">
        <f t="shared" si="1"/>
        <v>15521.25</v>
      </c>
    </row>
    <row r="64" spans="1:12" ht="12.75" outlineLevel="1">
      <c r="A64" s="419" t="s">
        <v>930</v>
      </c>
      <c r="C64" s="479"/>
      <c r="D64" s="457" t="s">
        <v>931</v>
      </c>
      <c r="E64" s="480" t="str">
        <f t="shared" si="0"/>
        <v>MONSANTO/MRB SCHOLAR</v>
      </c>
      <c r="F64" s="465">
        <v>40271.36</v>
      </c>
      <c r="G64" s="474">
        <v>0</v>
      </c>
      <c r="H64" s="474">
        <v>-1200.81</v>
      </c>
      <c r="I64" s="474">
        <v>6069.97</v>
      </c>
      <c r="J64" s="474">
        <v>0</v>
      </c>
      <c r="K64" s="474">
        <v>11037.63</v>
      </c>
      <c r="L64" s="474">
        <f t="shared" si="1"/>
        <v>56178.15</v>
      </c>
    </row>
    <row r="65" spans="1:12" ht="12.75" outlineLevel="1">
      <c r="A65" s="419" t="s">
        <v>932</v>
      </c>
      <c r="C65" s="479"/>
      <c r="D65" s="457" t="s">
        <v>933</v>
      </c>
      <c r="E65" s="480" t="str">
        <f t="shared" si="0"/>
        <v>MARIAN OLDHAM SCHP</v>
      </c>
      <c r="F65" s="465">
        <v>276201.39</v>
      </c>
      <c r="G65" s="474">
        <v>250</v>
      </c>
      <c r="H65" s="474">
        <v>-8226.12</v>
      </c>
      <c r="I65" s="474">
        <v>41646.22</v>
      </c>
      <c r="J65" s="474">
        <v>0</v>
      </c>
      <c r="K65" s="474">
        <v>0</v>
      </c>
      <c r="L65" s="474">
        <f t="shared" si="1"/>
        <v>309871.49</v>
      </c>
    </row>
    <row r="66" spans="1:12" ht="12.75" outlineLevel="1">
      <c r="A66" s="419" t="s">
        <v>934</v>
      </c>
      <c r="C66" s="479"/>
      <c r="D66" s="457" t="s">
        <v>935</v>
      </c>
      <c r="E66" s="480" t="str">
        <f t="shared" si="0"/>
        <v>JOHN PERRY SCHP</v>
      </c>
      <c r="F66" s="465">
        <v>17543.09</v>
      </c>
      <c r="G66" s="474">
        <v>105</v>
      </c>
      <c r="H66" s="474">
        <v>-501.22</v>
      </c>
      <c r="I66" s="474">
        <v>2660.92</v>
      </c>
      <c r="J66" s="474">
        <v>0</v>
      </c>
      <c r="K66" s="474">
        <v>0</v>
      </c>
      <c r="L66" s="474">
        <f t="shared" si="1"/>
        <v>19807.79</v>
      </c>
    </row>
    <row r="67" spans="1:12" ht="12.75" outlineLevel="1">
      <c r="A67" s="419" t="s">
        <v>936</v>
      </c>
      <c r="C67" s="479"/>
      <c r="D67" s="457" t="s">
        <v>937</v>
      </c>
      <c r="E67" s="480" t="str">
        <f t="shared" si="0"/>
        <v>PWSB FOUNDATION SCH</v>
      </c>
      <c r="F67" s="465">
        <v>13863.6</v>
      </c>
      <c r="G67" s="474">
        <v>0</v>
      </c>
      <c r="H67" s="474">
        <v>-413.39</v>
      </c>
      <c r="I67" s="474">
        <v>2089.6</v>
      </c>
      <c r="J67" s="474">
        <v>0</v>
      </c>
      <c r="K67" s="474">
        <v>0</v>
      </c>
      <c r="L67" s="474">
        <f t="shared" si="1"/>
        <v>15539.810000000001</v>
      </c>
    </row>
    <row r="68" spans="1:12" ht="12.75" outlineLevel="1">
      <c r="A68" s="419" t="s">
        <v>938</v>
      </c>
      <c r="C68" s="479"/>
      <c r="D68" s="457" t="s">
        <v>939</v>
      </c>
      <c r="E68" s="480" t="str">
        <f t="shared" si="0"/>
        <v>POLITICS IN AMERICA</v>
      </c>
      <c r="F68" s="465">
        <v>11757.87</v>
      </c>
      <c r="G68" s="474">
        <v>0</v>
      </c>
      <c r="H68" s="474">
        <v>-350.6</v>
      </c>
      <c r="I68" s="474">
        <v>1772.23</v>
      </c>
      <c r="J68" s="474">
        <v>0</v>
      </c>
      <c r="K68" s="474">
        <v>0</v>
      </c>
      <c r="L68" s="474">
        <f t="shared" si="1"/>
        <v>13179.5</v>
      </c>
    </row>
    <row r="69" spans="1:12" ht="12.75" outlineLevel="1">
      <c r="A69" s="419" t="s">
        <v>940</v>
      </c>
      <c r="C69" s="479"/>
      <c r="D69" s="457" t="s">
        <v>941</v>
      </c>
      <c r="E69" s="480" t="str">
        <f t="shared" si="0"/>
        <v>PUMPHREY SCHOLARSHIP</v>
      </c>
      <c r="F69" s="465">
        <v>22191.55</v>
      </c>
      <c r="G69" s="474">
        <v>430</v>
      </c>
      <c r="H69" s="474">
        <v>-642.75</v>
      </c>
      <c r="I69" s="474">
        <v>3373.34</v>
      </c>
      <c r="J69" s="474">
        <v>0</v>
      </c>
      <c r="K69" s="474">
        <v>0</v>
      </c>
      <c r="L69" s="474">
        <f t="shared" si="1"/>
        <v>25352.14</v>
      </c>
    </row>
    <row r="70" spans="1:12" ht="12.75" outlineLevel="1">
      <c r="A70" s="419" t="s">
        <v>942</v>
      </c>
      <c r="C70" s="479"/>
      <c r="D70" s="457" t="s">
        <v>943</v>
      </c>
      <c r="E70" s="480" t="str">
        <f t="shared" si="0"/>
        <v>PRESIDENT'S AWARD</v>
      </c>
      <c r="F70" s="465">
        <v>89266.2</v>
      </c>
      <c r="G70" s="474">
        <v>0</v>
      </c>
      <c r="H70" s="474">
        <v>-2601.95</v>
      </c>
      <c r="I70" s="474">
        <v>13995.8</v>
      </c>
      <c r="J70" s="474">
        <v>0</v>
      </c>
      <c r="K70" s="474">
        <v>0</v>
      </c>
      <c r="L70" s="474">
        <f t="shared" si="1"/>
        <v>100660.05</v>
      </c>
    </row>
    <row r="71" spans="1:12" ht="12.75" outlineLevel="1">
      <c r="A71" s="419" t="s">
        <v>944</v>
      </c>
      <c r="C71" s="479"/>
      <c r="D71" s="457" t="s">
        <v>945</v>
      </c>
      <c r="E71" s="480" t="str">
        <f t="shared" si="0"/>
        <v>R E REA MATH SCHP FD</v>
      </c>
      <c r="F71" s="465">
        <v>13385.87</v>
      </c>
      <c r="G71" s="474">
        <v>0</v>
      </c>
      <c r="H71" s="474">
        <v>-399.13</v>
      </c>
      <c r="I71" s="474">
        <v>2017.63</v>
      </c>
      <c r="J71" s="474">
        <v>0</v>
      </c>
      <c r="K71" s="474">
        <v>0</v>
      </c>
      <c r="L71" s="474">
        <f t="shared" si="1"/>
        <v>15004.370000000003</v>
      </c>
    </row>
    <row r="72" spans="1:12" ht="12.75" outlineLevel="1">
      <c r="A72" s="419" t="s">
        <v>946</v>
      </c>
      <c r="C72" s="479"/>
      <c r="D72" s="457" t="s">
        <v>947</v>
      </c>
      <c r="E72" s="480" t="str">
        <f t="shared" si="0"/>
        <v>ROULHAC SCHOLARSHIP</v>
      </c>
      <c r="F72" s="465">
        <v>35599.4</v>
      </c>
      <c r="G72" s="474">
        <v>0</v>
      </c>
      <c r="H72" s="474">
        <v>-1061.5</v>
      </c>
      <c r="I72" s="474">
        <v>5365.77</v>
      </c>
      <c r="J72" s="474">
        <v>0</v>
      </c>
      <c r="K72" s="474">
        <v>0</v>
      </c>
      <c r="L72" s="474">
        <f t="shared" si="1"/>
        <v>39903.67</v>
      </c>
    </row>
    <row r="73" spans="1:12" ht="12.75" outlineLevel="1">
      <c r="A73" s="419" t="s">
        <v>948</v>
      </c>
      <c r="C73" s="479"/>
      <c r="D73" s="457" t="s">
        <v>949</v>
      </c>
      <c r="E73" s="480" t="str">
        <f aca="true" t="shared" si="2" ref="E73:E136">UPPER(D73)</f>
        <v>ROBINSON MEMORIAL SCHOLARSHIP</v>
      </c>
      <c r="F73" s="465">
        <v>26658.77</v>
      </c>
      <c r="G73" s="474">
        <v>100</v>
      </c>
      <c r="H73" s="474">
        <v>-789</v>
      </c>
      <c r="I73" s="474">
        <v>4022.48</v>
      </c>
      <c r="J73" s="474">
        <v>0</v>
      </c>
      <c r="K73" s="474">
        <v>0</v>
      </c>
      <c r="L73" s="474">
        <f t="shared" si="1"/>
        <v>29992.25</v>
      </c>
    </row>
    <row r="74" spans="1:12" ht="12.75" outlineLevel="1">
      <c r="A74" s="419" t="s">
        <v>950</v>
      </c>
      <c r="C74" s="479"/>
      <c r="D74" s="457" t="s">
        <v>951</v>
      </c>
      <c r="E74" s="480" t="str">
        <f t="shared" si="2"/>
        <v>ROSS MEM SCHP FUND</v>
      </c>
      <c r="F74" s="465">
        <v>33106.27</v>
      </c>
      <c r="G74" s="474">
        <v>0</v>
      </c>
      <c r="H74" s="474">
        <v>-987.14</v>
      </c>
      <c r="I74" s="474">
        <v>4989.99</v>
      </c>
      <c r="J74" s="474">
        <v>0</v>
      </c>
      <c r="K74" s="474">
        <v>0</v>
      </c>
      <c r="L74" s="474">
        <f aca="true" t="shared" si="3" ref="L74:L137">F74+G74+H74+I74-J74+K74</f>
        <v>37109.119999999995</v>
      </c>
    </row>
    <row r="75" spans="1:12" ht="12.75" outlineLevel="1">
      <c r="A75" s="419" t="s">
        <v>952</v>
      </c>
      <c r="C75" s="479"/>
      <c r="D75" s="457" t="s">
        <v>953</v>
      </c>
      <c r="E75" s="480" t="str">
        <f t="shared" si="2"/>
        <v>MANFRED ROMMEL SCHP</v>
      </c>
      <c r="F75" s="465">
        <v>13787.32</v>
      </c>
      <c r="G75" s="474">
        <v>0</v>
      </c>
      <c r="H75" s="474">
        <v>-411.1</v>
      </c>
      <c r="I75" s="474">
        <v>2078.13</v>
      </c>
      <c r="J75" s="474">
        <v>0</v>
      </c>
      <c r="K75" s="474">
        <v>0</v>
      </c>
      <c r="L75" s="474">
        <f t="shared" si="3"/>
        <v>15454.349999999999</v>
      </c>
    </row>
    <row r="76" spans="1:12" ht="12.75" outlineLevel="1">
      <c r="A76" s="419" t="s">
        <v>954</v>
      </c>
      <c r="C76" s="479"/>
      <c r="D76" s="457" t="s">
        <v>955</v>
      </c>
      <c r="E76" s="480" t="str">
        <f t="shared" si="2"/>
        <v>ST LOUIS MAYORS SCH</v>
      </c>
      <c r="F76" s="465">
        <v>53263.82</v>
      </c>
      <c r="G76" s="474">
        <v>0</v>
      </c>
      <c r="H76" s="474">
        <v>-1588.2</v>
      </c>
      <c r="I76" s="474">
        <v>8028.28</v>
      </c>
      <c r="J76" s="474">
        <v>0</v>
      </c>
      <c r="K76" s="474">
        <v>0</v>
      </c>
      <c r="L76" s="474">
        <f t="shared" si="3"/>
        <v>59703.9</v>
      </c>
    </row>
    <row r="77" spans="1:12" ht="12.75" outlineLevel="1">
      <c r="A77" s="419" t="s">
        <v>956</v>
      </c>
      <c r="C77" s="479"/>
      <c r="D77" s="457" t="s">
        <v>957</v>
      </c>
      <c r="E77" s="480" t="str">
        <f t="shared" si="2"/>
        <v>JACOBS/SVERDRUP ENGRG SCHLP</v>
      </c>
      <c r="F77" s="465">
        <v>31150.44</v>
      </c>
      <c r="G77" s="474">
        <v>0</v>
      </c>
      <c r="H77" s="474">
        <v>-818.54</v>
      </c>
      <c r="I77" s="474">
        <v>4747.12</v>
      </c>
      <c r="J77" s="474">
        <v>0</v>
      </c>
      <c r="K77" s="474">
        <v>0</v>
      </c>
      <c r="L77" s="474">
        <f t="shared" si="3"/>
        <v>35079.02</v>
      </c>
    </row>
    <row r="78" spans="1:12" ht="12.75" outlineLevel="1">
      <c r="A78" s="419" t="s">
        <v>958</v>
      </c>
      <c r="C78" s="479"/>
      <c r="D78" s="457" t="s">
        <v>959</v>
      </c>
      <c r="E78" s="480" t="str">
        <f t="shared" si="2"/>
        <v>GEORGE RAWICK AWARD</v>
      </c>
      <c r="F78" s="465">
        <v>10500.13</v>
      </c>
      <c r="G78" s="474">
        <v>0</v>
      </c>
      <c r="H78" s="474">
        <v>-310.9</v>
      </c>
      <c r="I78" s="474">
        <v>1583.68</v>
      </c>
      <c r="J78" s="474">
        <v>0</v>
      </c>
      <c r="K78" s="474">
        <v>0</v>
      </c>
      <c r="L78" s="474">
        <f t="shared" si="3"/>
        <v>11772.91</v>
      </c>
    </row>
    <row r="79" spans="1:12" ht="12.75" outlineLevel="1">
      <c r="A79" s="419" t="s">
        <v>960</v>
      </c>
      <c r="C79" s="479"/>
      <c r="D79" s="457" t="s">
        <v>961</v>
      </c>
      <c r="E79" s="480" t="str">
        <f t="shared" si="2"/>
        <v>UN DAY ESSAY CONTEST</v>
      </c>
      <c r="F79" s="465">
        <v>204347.47</v>
      </c>
      <c r="G79" s="474">
        <v>0</v>
      </c>
      <c r="H79" s="474">
        <v>-5628.25</v>
      </c>
      <c r="I79" s="474">
        <v>30807.56</v>
      </c>
      <c r="J79" s="474">
        <v>0</v>
      </c>
      <c r="K79" s="474">
        <v>0</v>
      </c>
      <c r="L79" s="474">
        <f t="shared" si="3"/>
        <v>229526.78</v>
      </c>
    </row>
    <row r="80" spans="1:12" ht="12.75" outlineLevel="1">
      <c r="A80" s="419" t="s">
        <v>962</v>
      </c>
      <c r="C80" s="479"/>
      <c r="D80" s="457" t="s">
        <v>963</v>
      </c>
      <c r="E80" s="480" t="str">
        <f t="shared" si="2"/>
        <v>L J SHERMAN SCH</v>
      </c>
      <c r="F80" s="465">
        <v>25950.35</v>
      </c>
      <c r="G80" s="474">
        <v>125</v>
      </c>
      <c r="H80" s="474">
        <v>-768.07</v>
      </c>
      <c r="I80" s="474">
        <v>3920.91</v>
      </c>
      <c r="J80" s="474">
        <v>0</v>
      </c>
      <c r="K80" s="474">
        <v>0</v>
      </c>
      <c r="L80" s="474">
        <f t="shared" si="3"/>
        <v>29228.19</v>
      </c>
    </row>
    <row r="81" spans="1:12" ht="12.75" outlineLevel="1">
      <c r="A81" s="419" t="s">
        <v>964</v>
      </c>
      <c r="C81" s="479"/>
      <c r="D81" s="457" t="s">
        <v>965</v>
      </c>
      <c r="E81" s="480" t="str">
        <f t="shared" si="2"/>
        <v>SHEPLEY BANKING SCHP</v>
      </c>
      <c r="F81" s="465">
        <v>10602.34</v>
      </c>
      <c r="G81" s="474">
        <v>0</v>
      </c>
      <c r="H81" s="474">
        <v>-316.14</v>
      </c>
      <c r="I81" s="474">
        <v>1598.05</v>
      </c>
      <c r="J81" s="474">
        <v>0</v>
      </c>
      <c r="K81" s="474">
        <v>0</v>
      </c>
      <c r="L81" s="474">
        <f t="shared" si="3"/>
        <v>11884.25</v>
      </c>
    </row>
    <row r="82" spans="1:12" ht="12.75" outlineLevel="1">
      <c r="A82" s="419" t="s">
        <v>966</v>
      </c>
      <c r="C82" s="479"/>
      <c r="D82" s="457" t="s">
        <v>967</v>
      </c>
      <c r="E82" s="480" t="str">
        <f t="shared" si="2"/>
        <v>E &amp; S SYMINGTON SCHP</v>
      </c>
      <c r="F82" s="465">
        <v>28188.94</v>
      </c>
      <c r="G82" s="474">
        <v>0</v>
      </c>
      <c r="H82" s="474">
        <v>-838.03</v>
      </c>
      <c r="I82" s="474">
        <v>4251.74</v>
      </c>
      <c r="J82" s="474">
        <v>0</v>
      </c>
      <c r="K82" s="474">
        <v>0</v>
      </c>
      <c r="L82" s="474">
        <f t="shared" si="3"/>
        <v>31602.65</v>
      </c>
    </row>
    <row r="83" spans="1:12" ht="12.75" outlineLevel="1">
      <c r="A83" s="419" t="s">
        <v>968</v>
      </c>
      <c r="C83" s="479"/>
      <c r="D83" s="457" t="s">
        <v>969</v>
      </c>
      <c r="E83" s="480" t="str">
        <f t="shared" si="2"/>
        <v>MCNEAL MEM SCHP FD</v>
      </c>
      <c r="F83" s="465">
        <v>6725.92</v>
      </c>
      <c r="G83" s="474">
        <v>0</v>
      </c>
      <c r="H83" s="474">
        <v>-200.55</v>
      </c>
      <c r="I83" s="474">
        <v>1013.76</v>
      </c>
      <c r="J83" s="474">
        <v>0</v>
      </c>
      <c r="K83" s="474">
        <v>0</v>
      </c>
      <c r="L83" s="474">
        <f t="shared" si="3"/>
        <v>7539.13</v>
      </c>
    </row>
    <row r="84" spans="1:12" ht="12.75" outlineLevel="1">
      <c r="A84" s="419" t="s">
        <v>970</v>
      </c>
      <c r="C84" s="479"/>
      <c r="D84" s="457" t="s">
        <v>971</v>
      </c>
      <c r="E84" s="480" t="str">
        <f t="shared" si="2"/>
        <v>V SAPP SCHOLARSHIP</v>
      </c>
      <c r="F84" s="465">
        <v>15186.56</v>
      </c>
      <c r="G84" s="474">
        <v>0</v>
      </c>
      <c r="H84" s="474">
        <v>-452.81</v>
      </c>
      <c r="I84" s="474">
        <v>2289.03</v>
      </c>
      <c r="J84" s="474">
        <v>0</v>
      </c>
      <c r="K84" s="474">
        <v>0</v>
      </c>
      <c r="L84" s="474">
        <f t="shared" si="3"/>
        <v>17022.78</v>
      </c>
    </row>
    <row r="85" spans="1:12" ht="12.75" outlineLevel="1">
      <c r="A85" s="419" t="s">
        <v>972</v>
      </c>
      <c r="C85" s="479"/>
      <c r="D85" s="457" t="s">
        <v>973</v>
      </c>
      <c r="E85" s="480" t="str">
        <f t="shared" si="2"/>
        <v>STROH MUSIC SCHP</v>
      </c>
      <c r="F85" s="465">
        <v>47353.81</v>
      </c>
      <c r="G85" s="474">
        <v>0</v>
      </c>
      <c r="H85" s="474">
        <v>-1411.99</v>
      </c>
      <c r="I85" s="474">
        <v>7137.47</v>
      </c>
      <c r="J85" s="474">
        <v>0</v>
      </c>
      <c r="K85" s="474">
        <v>0</v>
      </c>
      <c r="L85" s="474">
        <f t="shared" si="3"/>
        <v>53079.29</v>
      </c>
    </row>
    <row r="86" spans="1:12" ht="12.75" outlineLevel="1">
      <c r="A86" s="419" t="s">
        <v>974</v>
      </c>
      <c r="C86" s="479"/>
      <c r="D86" s="457" t="s">
        <v>975</v>
      </c>
      <c r="E86" s="480" t="str">
        <f t="shared" si="2"/>
        <v>S'WESTERN BELL SCHOL</v>
      </c>
      <c r="F86" s="465">
        <v>198981.45</v>
      </c>
      <c r="G86" s="474">
        <v>0</v>
      </c>
      <c r="H86" s="474">
        <v>-5933.19</v>
      </c>
      <c r="I86" s="474">
        <v>29991.83</v>
      </c>
      <c r="J86" s="474">
        <v>0</v>
      </c>
      <c r="K86" s="474">
        <v>0</v>
      </c>
      <c r="L86" s="474">
        <f t="shared" si="3"/>
        <v>223040.09000000003</v>
      </c>
    </row>
    <row r="87" spans="1:12" ht="12.75" outlineLevel="1">
      <c r="A87" s="419" t="s">
        <v>976</v>
      </c>
      <c r="C87" s="479"/>
      <c r="D87" s="457" t="s">
        <v>977</v>
      </c>
      <c r="E87" s="480" t="str">
        <f t="shared" si="2"/>
        <v>SWEENEY SCHOLARSHIP</v>
      </c>
      <c r="F87" s="465">
        <v>13733.63</v>
      </c>
      <c r="G87" s="474">
        <v>0</v>
      </c>
      <c r="H87" s="474">
        <v>-409.5</v>
      </c>
      <c r="I87" s="474">
        <v>2070.03</v>
      </c>
      <c r="J87" s="474">
        <v>0</v>
      </c>
      <c r="K87" s="474">
        <v>0</v>
      </c>
      <c r="L87" s="474">
        <f t="shared" si="3"/>
        <v>15394.16</v>
      </c>
    </row>
    <row r="88" spans="1:12" ht="12.75" outlineLevel="1">
      <c r="A88" s="419" t="s">
        <v>978</v>
      </c>
      <c r="C88" s="479"/>
      <c r="D88" s="457" t="s">
        <v>979</v>
      </c>
      <c r="E88" s="480" t="str">
        <f t="shared" si="2"/>
        <v>TKE SCHOLARSHIP</v>
      </c>
      <c r="F88" s="465">
        <v>18746.98</v>
      </c>
      <c r="G88" s="474">
        <v>0</v>
      </c>
      <c r="H88" s="474">
        <v>-558.99</v>
      </c>
      <c r="I88" s="474">
        <v>2825.69</v>
      </c>
      <c r="J88" s="474">
        <v>0</v>
      </c>
      <c r="K88" s="474">
        <v>0</v>
      </c>
      <c r="L88" s="474">
        <f t="shared" si="3"/>
        <v>21013.679999999997</v>
      </c>
    </row>
    <row r="89" spans="1:12" ht="12.75" outlineLevel="1">
      <c r="A89" s="419" t="s">
        <v>980</v>
      </c>
      <c r="C89" s="479"/>
      <c r="D89" s="457" t="s">
        <v>981</v>
      </c>
      <c r="E89" s="480" t="str">
        <f t="shared" si="2"/>
        <v>TIDWELL NURSING SCHP</v>
      </c>
      <c r="F89" s="465">
        <v>14098.24</v>
      </c>
      <c r="G89" s="474">
        <v>0</v>
      </c>
      <c r="H89" s="474">
        <v>-420.39</v>
      </c>
      <c r="I89" s="474">
        <v>2124.98</v>
      </c>
      <c r="J89" s="474">
        <v>0</v>
      </c>
      <c r="K89" s="474">
        <v>0</v>
      </c>
      <c r="L89" s="474">
        <f t="shared" si="3"/>
        <v>15802.83</v>
      </c>
    </row>
    <row r="90" spans="1:12" ht="12.75" outlineLevel="1">
      <c r="A90" s="419" t="s">
        <v>982</v>
      </c>
      <c r="C90" s="479"/>
      <c r="D90" s="457" t="s">
        <v>983</v>
      </c>
      <c r="E90" s="480" t="str">
        <f t="shared" si="2"/>
        <v>TOWARDS INDEP SCHOL</v>
      </c>
      <c r="F90" s="465">
        <v>53759.12</v>
      </c>
      <c r="G90" s="474">
        <v>0</v>
      </c>
      <c r="H90" s="474">
        <v>-1602.98</v>
      </c>
      <c r="I90" s="474">
        <v>8102.94</v>
      </c>
      <c r="J90" s="474">
        <v>0</v>
      </c>
      <c r="K90" s="474">
        <v>0</v>
      </c>
      <c r="L90" s="474">
        <f t="shared" si="3"/>
        <v>60259.08</v>
      </c>
    </row>
    <row r="91" spans="1:12" ht="12.75" outlineLevel="1">
      <c r="A91" s="419" t="s">
        <v>984</v>
      </c>
      <c r="C91" s="479"/>
      <c r="D91" s="457" t="s">
        <v>985</v>
      </c>
      <c r="E91" s="480" t="str">
        <f t="shared" si="2"/>
        <v>NORBERT TERRE MEM</v>
      </c>
      <c r="F91" s="465">
        <v>35525.15</v>
      </c>
      <c r="G91" s="474">
        <v>0</v>
      </c>
      <c r="H91" s="474">
        <v>-145.76</v>
      </c>
      <c r="I91" s="474">
        <v>-1945.28</v>
      </c>
      <c r="J91" s="474">
        <v>0</v>
      </c>
      <c r="K91" s="474">
        <v>0</v>
      </c>
      <c r="L91" s="474">
        <f t="shared" si="3"/>
        <v>33434.11</v>
      </c>
    </row>
    <row r="92" spans="1:12" ht="12.75" outlineLevel="1">
      <c r="A92" s="419" t="s">
        <v>986</v>
      </c>
      <c r="C92" s="479"/>
      <c r="D92" s="457" t="s">
        <v>987</v>
      </c>
      <c r="E92" s="480" t="str">
        <f t="shared" si="2"/>
        <v>TSADIK MINORITY SCHP</v>
      </c>
      <c r="F92" s="465">
        <v>30549.07</v>
      </c>
      <c r="G92" s="474">
        <v>0</v>
      </c>
      <c r="H92" s="474">
        <v>-910.91</v>
      </c>
      <c r="I92" s="474">
        <v>4604.56</v>
      </c>
      <c r="J92" s="474">
        <v>0</v>
      </c>
      <c r="K92" s="474">
        <v>0</v>
      </c>
      <c r="L92" s="474">
        <f t="shared" si="3"/>
        <v>34242.72</v>
      </c>
    </row>
    <row r="93" spans="1:12" ht="12.75" outlineLevel="1">
      <c r="A93" s="419" t="s">
        <v>988</v>
      </c>
      <c r="C93" s="479"/>
      <c r="D93" s="457" t="s">
        <v>989</v>
      </c>
      <c r="E93" s="480" t="str">
        <f t="shared" si="2"/>
        <v>EMERY TURNER FUND</v>
      </c>
      <c r="F93" s="465">
        <v>8104.3</v>
      </c>
      <c r="G93" s="474">
        <v>0</v>
      </c>
      <c r="H93" s="474">
        <v>-33.25</v>
      </c>
      <c r="I93" s="474">
        <v>-443.76</v>
      </c>
      <c r="J93" s="474">
        <v>0</v>
      </c>
      <c r="K93" s="474">
        <v>0</v>
      </c>
      <c r="L93" s="474">
        <f t="shared" si="3"/>
        <v>7627.29</v>
      </c>
    </row>
    <row r="94" spans="1:12" ht="12.75" outlineLevel="1">
      <c r="A94" s="419" t="s">
        <v>990</v>
      </c>
      <c r="C94" s="479"/>
      <c r="D94" s="457" t="s">
        <v>991</v>
      </c>
      <c r="E94" s="480" t="str">
        <f t="shared" si="2"/>
        <v>SOC WK ALUM SCHP</v>
      </c>
      <c r="F94" s="465">
        <v>9331.31</v>
      </c>
      <c r="G94" s="474">
        <v>0</v>
      </c>
      <c r="H94" s="474">
        <v>-277.14</v>
      </c>
      <c r="I94" s="474">
        <v>1406.98</v>
      </c>
      <c r="J94" s="474">
        <v>0</v>
      </c>
      <c r="K94" s="474">
        <v>0</v>
      </c>
      <c r="L94" s="474">
        <f t="shared" si="3"/>
        <v>10461.15</v>
      </c>
    </row>
    <row r="95" spans="1:12" ht="12.75" outlineLevel="1">
      <c r="A95" s="419" t="s">
        <v>992</v>
      </c>
      <c r="C95" s="479"/>
      <c r="D95" s="457" t="s">
        <v>993</v>
      </c>
      <c r="E95" s="480" t="str">
        <f t="shared" si="2"/>
        <v>UMSL WOMEN SCHOL</v>
      </c>
      <c r="F95" s="465">
        <v>25368.86</v>
      </c>
      <c r="G95" s="474">
        <v>0</v>
      </c>
      <c r="H95" s="474">
        <v>-755.62</v>
      </c>
      <c r="I95" s="474">
        <v>3827.34</v>
      </c>
      <c r="J95" s="474">
        <v>0</v>
      </c>
      <c r="K95" s="474">
        <v>0</v>
      </c>
      <c r="L95" s="474">
        <f t="shared" si="3"/>
        <v>28440.58</v>
      </c>
    </row>
    <row r="96" spans="1:12" ht="12.75" outlineLevel="1">
      <c r="A96" s="419" t="s">
        <v>994</v>
      </c>
      <c r="C96" s="479"/>
      <c r="D96" s="457" t="s">
        <v>995</v>
      </c>
      <c r="E96" s="480" t="str">
        <f t="shared" si="2"/>
        <v>KATHY VAN DYKE SCHOL</v>
      </c>
      <c r="F96" s="465">
        <v>22323.68</v>
      </c>
      <c r="G96" s="474">
        <v>140</v>
      </c>
      <c r="H96" s="474">
        <v>-661.3</v>
      </c>
      <c r="I96" s="474">
        <v>3369.25</v>
      </c>
      <c r="J96" s="474">
        <v>0</v>
      </c>
      <c r="K96" s="474">
        <v>0</v>
      </c>
      <c r="L96" s="474">
        <f t="shared" si="3"/>
        <v>25171.63</v>
      </c>
    </row>
    <row r="97" spans="1:14" s="525" customFormat="1" ht="12.75" outlineLevel="1">
      <c r="A97" s="525" t="s">
        <v>996</v>
      </c>
      <c r="B97" s="420"/>
      <c r="C97" s="481"/>
      <c r="D97" s="421" t="s">
        <v>997</v>
      </c>
      <c r="E97" s="480" t="str">
        <f t="shared" si="2"/>
        <v>WALTERS MUSIC SCHP</v>
      </c>
      <c r="F97" s="465">
        <v>29074.24</v>
      </c>
      <c r="G97" s="466">
        <v>2967.5</v>
      </c>
      <c r="H97" s="466">
        <v>-748.03</v>
      </c>
      <c r="I97" s="466">
        <v>4587.67</v>
      </c>
      <c r="J97" s="466">
        <v>0</v>
      </c>
      <c r="K97" s="466">
        <v>0</v>
      </c>
      <c r="L97" s="466">
        <f t="shared" si="3"/>
        <v>35881.380000000005</v>
      </c>
      <c r="M97" s="481"/>
      <c r="N97" s="480"/>
    </row>
    <row r="98" spans="1:13" ht="12.75" outlineLevel="1">
      <c r="A98" s="419" t="s">
        <v>998</v>
      </c>
      <c r="D98" s="457" t="s">
        <v>999</v>
      </c>
      <c r="E98" s="445" t="str">
        <f t="shared" si="2"/>
        <v>WHITENER EVENING COL</v>
      </c>
      <c r="F98" s="473">
        <v>41019.85</v>
      </c>
      <c r="G98" s="474">
        <v>2460</v>
      </c>
      <c r="H98" s="474">
        <v>-1080.85</v>
      </c>
      <c r="I98" s="474">
        <v>6275.32</v>
      </c>
      <c r="J98" s="474">
        <v>0</v>
      </c>
      <c r="K98" s="474">
        <v>0</v>
      </c>
      <c r="L98" s="474">
        <f t="shared" si="3"/>
        <v>48674.32</v>
      </c>
      <c r="M98" s="457"/>
    </row>
    <row r="99" spans="1:13" ht="12.75" outlineLevel="1">
      <c r="A99" s="419" t="s">
        <v>1000</v>
      </c>
      <c r="D99" s="457" t="s">
        <v>1001</v>
      </c>
      <c r="E99" s="445" t="str">
        <f t="shared" si="2"/>
        <v>G C WILSON AWARD</v>
      </c>
      <c r="F99" s="473">
        <v>22243.84</v>
      </c>
      <c r="G99" s="474">
        <v>0</v>
      </c>
      <c r="H99" s="474">
        <v>-663.27</v>
      </c>
      <c r="I99" s="474">
        <v>3352.74</v>
      </c>
      <c r="J99" s="474">
        <v>0</v>
      </c>
      <c r="K99" s="474">
        <v>0</v>
      </c>
      <c r="L99" s="474">
        <f t="shared" si="3"/>
        <v>24933.309999999998</v>
      </c>
      <c r="M99" s="457"/>
    </row>
    <row r="100" spans="1:13" ht="12.75" outlineLevel="1">
      <c r="A100" s="419" t="s">
        <v>1002</v>
      </c>
      <c r="D100" s="457" t="s">
        <v>1003</v>
      </c>
      <c r="E100" s="445" t="str">
        <f t="shared" si="2"/>
        <v>HARRIETT WOODS SCHOL</v>
      </c>
      <c r="F100" s="473">
        <v>32872.19</v>
      </c>
      <c r="G100" s="474">
        <v>0</v>
      </c>
      <c r="H100" s="474">
        <v>-980.18</v>
      </c>
      <c r="I100" s="474">
        <v>4954.72</v>
      </c>
      <c r="J100" s="474">
        <v>0</v>
      </c>
      <c r="K100" s="474">
        <v>0</v>
      </c>
      <c r="L100" s="474">
        <f t="shared" si="3"/>
        <v>36846.73</v>
      </c>
      <c r="M100" s="457"/>
    </row>
    <row r="101" spans="1:14" s="519" customFormat="1" ht="12.75" outlineLevel="1">
      <c r="A101" s="519" t="s">
        <v>1004</v>
      </c>
      <c r="B101" s="520"/>
      <c r="C101" s="479"/>
      <c r="D101" s="479" t="s">
        <v>1005</v>
      </c>
      <c r="E101" s="521" t="str">
        <f t="shared" si="2"/>
        <v>ALUMNI LECTURE</v>
      </c>
      <c r="F101" s="522">
        <v>26403.08</v>
      </c>
      <c r="G101" s="523">
        <v>0</v>
      </c>
      <c r="H101" s="523">
        <v>-787.29</v>
      </c>
      <c r="I101" s="523">
        <v>3979.64</v>
      </c>
      <c r="J101" s="523">
        <v>0</v>
      </c>
      <c r="K101" s="523">
        <v>0</v>
      </c>
      <c r="L101" s="523">
        <f t="shared" si="3"/>
        <v>29595.43</v>
      </c>
      <c r="M101" s="481"/>
      <c r="N101" s="524"/>
    </row>
    <row r="102" spans="1:12" ht="12.75" outlineLevel="1">
      <c r="A102" s="419" t="s">
        <v>1006</v>
      </c>
      <c r="C102" s="479"/>
      <c r="D102" s="457" t="s">
        <v>1007</v>
      </c>
      <c r="E102" s="480" t="str">
        <f t="shared" si="2"/>
        <v>BARRIGER III LIBRARY</v>
      </c>
      <c r="F102" s="465">
        <v>308182.93</v>
      </c>
      <c r="G102" s="474">
        <v>1750</v>
      </c>
      <c r="H102" s="474">
        <v>-9168.79</v>
      </c>
      <c r="I102" s="474">
        <v>46482.11</v>
      </c>
      <c r="J102" s="474">
        <v>0</v>
      </c>
      <c r="K102" s="474">
        <v>0</v>
      </c>
      <c r="L102" s="474">
        <f t="shared" si="3"/>
        <v>347246.25</v>
      </c>
    </row>
    <row r="103" spans="1:12" ht="12.75" outlineLevel="1">
      <c r="A103" s="419" t="s">
        <v>1008</v>
      </c>
      <c r="C103" s="479"/>
      <c r="D103" s="457" t="s">
        <v>1009</v>
      </c>
      <c r="E103" s="480" t="str">
        <f t="shared" si="2"/>
        <v>BARRIGER MO PROFESSO</v>
      </c>
      <c r="F103" s="465">
        <v>672474.2</v>
      </c>
      <c r="G103" s="474">
        <v>0</v>
      </c>
      <c r="H103" s="474">
        <v>-20051.67</v>
      </c>
      <c r="I103" s="474">
        <v>101359.78</v>
      </c>
      <c r="J103" s="474">
        <v>0</v>
      </c>
      <c r="K103" s="474">
        <v>0</v>
      </c>
      <c r="L103" s="474">
        <f t="shared" si="3"/>
        <v>753782.3099999999</v>
      </c>
    </row>
    <row r="104" spans="1:12" ht="12.75" outlineLevel="1">
      <c r="A104" s="419" t="s">
        <v>1010</v>
      </c>
      <c r="C104" s="479"/>
      <c r="D104" s="457" t="s">
        <v>1011</v>
      </c>
      <c r="E104" s="480" t="str">
        <f t="shared" si="2"/>
        <v>BARRIGER MEMORIAL BOOK FUND</v>
      </c>
      <c r="F104" s="465">
        <v>87937.2</v>
      </c>
      <c r="G104" s="474">
        <v>0</v>
      </c>
      <c r="H104" s="474">
        <v>-2622.09</v>
      </c>
      <c r="I104" s="474">
        <v>13254.49</v>
      </c>
      <c r="J104" s="474">
        <v>0</v>
      </c>
      <c r="K104" s="474">
        <v>0</v>
      </c>
      <c r="L104" s="474">
        <f t="shared" si="3"/>
        <v>98569.6</v>
      </c>
    </row>
    <row r="105" spans="1:12" ht="12.75" outlineLevel="1">
      <c r="A105" s="419" t="s">
        <v>1012</v>
      </c>
      <c r="C105" s="479"/>
      <c r="D105" s="457" t="s">
        <v>1013</v>
      </c>
      <c r="E105" s="480" t="str">
        <f t="shared" si="2"/>
        <v>NEWMAN BOOK FUND</v>
      </c>
      <c r="F105" s="465">
        <v>40569.49</v>
      </c>
      <c r="G105" s="474">
        <v>0</v>
      </c>
      <c r="H105" s="474">
        <v>-1209.85</v>
      </c>
      <c r="I105" s="474">
        <v>6115.43</v>
      </c>
      <c r="J105" s="474">
        <v>0</v>
      </c>
      <c r="K105" s="474">
        <v>0</v>
      </c>
      <c r="L105" s="474">
        <f t="shared" si="3"/>
        <v>45475.07</v>
      </c>
    </row>
    <row r="106" spans="1:12" ht="12.75" outlineLevel="1">
      <c r="A106" s="419" t="s">
        <v>1014</v>
      </c>
      <c r="C106" s="479"/>
      <c r="D106" s="457" t="s">
        <v>1015</v>
      </c>
      <c r="E106" s="480" t="str">
        <f t="shared" si="2"/>
        <v>WEIL TRAVEL BOOK FND</v>
      </c>
      <c r="F106" s="465">
        <v>12935.59</v>
      </c>
      <c r="G106" s="474">
        <v>0</v>
      </c>
      <c r="H106" s="474">
        <v>-385.71</v>
      </c>
      <c r="I106" s="474">
        <v>1949.75</v>
      </c>
      <c r="J106" s="474">
        <v>0</v>
      </c>
      <c r="K106" s="474">
        <v>0</v>
      </c>
      <c r="L106" s="474">
        <f t="shared" si="3"/>
        <v>14499.630000000001</v>
      </c>
    </row>
    <row r="107" spans="1:12" ht="12.75" outlineLevel="1">
      <c r="A107" s="419" t="s">
        <v>1016</v>
      </c>
      <c r="C107" s="479"/>
      <c r="D107" s="457" t="s">
        <v>1017</v>
      </c>
      <c r="E107" s="480" t="str">
        <f t="shared" si="2"/>
        <v>DUHME BOOK FUND</v>
      </c>
      <c r="F107" s="465">
        <v>15911.44</v>
      </c>
      <c r="G107" s="474">
        <v>0</v>
      </c>
      <c r="H107" s="474">
        <v>-474.44</v>
      </c>
      <c r="I107" s="474">
        <v>2398.29</v>
      </c>
      <c r="J107" s="474">
        <v>0</v>
      </c>
      <c r="K107" s="474">
        <v>0</v>
      </c>
      <c r="L107" s="474">
        <f t="shared" si="3"/>
        <v>17835.29</v>
      </c>
    </row>
    <row r="108" spans="1:12" ht="12.75" outlineLevel="1">
      <c r="A108" s="419" t="s">
        <v>1018</v>
      </c>
      <c r="C108" s="479"/>
      <c r="D108" s="457" t="s">
        <v>1019</v>
      </c>
      <c r="E108" s="480" t="str">
        <f t="shared" si="2"/>
        <v>GREEN RARE BOOK FUND</v>
      </c>
      <c r="F108" s="465">
        <v>22434.77</v>
      </c>
      <c r="G108" s="474">
        <v>0</v>
      </c>
      <c r="H108" s="474">
        <v>-668.95</v>
      </c>
      <c r="I108" s="474">
        <v>3381.5</v>
      </c>
      <c r="J108" s="474">
        <v>0</v>
      </c>
      <c r="K108" s="474">
        <v>0</v>
      </c>
      <c r="L108" s="474">
        <f t="shared" si="3"/>
        <v>25147.32</v>
      </c>
    </row>
    <row r="109" spans="1:12" ht="12.75" outlineLevel="1">
      <c r="A109" s="419" t="s">
        <v>1020</v>
      </c>
      <c r="C109" s="479"/>
      <c r="D109" s="457" t="s">
        <v>1021</v>
      </c>
      <c r="E109" s="480" t="str">
        <f t="shared" si="2"/>
        <v>WESTERN AMERICANA FD</v>
      </c>
      <c r="F109" s="465">
        <v>136455.99</v>
      </c>
      <c r="G109" s="474">
        <v>0</v>
      </c>
      <c r="H109" s="474">
        <v>-4068.82</v>
      </c>
      <c r="I109" s="474">
        <v>20567.55</v>
      </c>
      <c r="J109" s="474">
        <v>0</v>
      </c>
      <c r="K109" s="474">
        <v>0</v>
      </c>
      <c r="L109" s="474">
        <f t="shared" si="3"/>
        <v>152954.71999999997</v>
      </c>
    </row>
    <row r="110" spans="1:12" ht="12.75" outlineLevel="1">
      <c r="A110" s="419" t="s">
        <v>1022</v>
      </c>
      <c r="C110" s="479"/>
      <c r="D110" s="457" t="s">
        <v>1023</v>
      </c>
      <c r="E110" s="480" t="str">
        <f t="shared" si="2"/>
        <v>WRIGHT AWARD</v>
      </c>
      <c r="F110" s="465">
        <v>22242.24</v>
      </c>
      <c r="G110" s="474">
        <v>0</v>
      </c>
      <c r="H110" s="474">
        <v>-663.22</v>
      </c>
      <c r="I110" s="474">
        <v>3352.48</v>
      </c>
      <c r="J110" s="474">
        <v>0</v>
      </c>
      <c r="K110" s="474">
        <v>0</v>
      </c>
      <c r="L110" s="474">
        <f t="shared" si="3"/>
        <v>24931.5</v>
      </c>
    </row>
    <row r="111" spans="1:12" ht="12.75" outlineLevel="1">
      <c r="A111" s="419" t="s">
        <v>1024</v>
      </c>
      <c r="C111" s="479"/>
      <c r="D111" s="457" t="s">
        <v>1025</v>
      </c>
      <c r="E111" s="480" t="str">
        <f t="shared" si="2"/>
        <v>POTT WATERWAYS FUND</v>
      </c>
      <c r="F111" s="465">
        <v>16071.09</v>
      </c>
      <c r="G111" s="474">
        <v>0</v>
      </c>
      <c r="H111" s="474">
        <v>-479.02</v>
      </c>
      <c r="I111" s="474">
        <v>2421.22</v>
      </c>
      <c r="J111" s="474">
        <v>0</v>
      </c>
      <c r="K111" s="474">
        <v>0</v>
      </c>
      <c r="L111" s="474">
        <f t="shared" si="3"/>
        <v>18013.29</v>
      </c>
    </row>
    <row r="112" spans="1:12" ht="12.75" outlineLevel="1">
      <c r="A112" s="419" t="s">
        <v>1026</v>
      </c>
      <c r="C112" s="479"/>
      <c r="D112" s="457" t="s">
        <v>1027</v>
      </c>
      <c r="E112" s="480" t="str">
        <f t="shared" si="2"/>
        <v>RUTH FERRIS FUND</v>
      </c>
      <c r="F112" s="465">
        <v>433858.88</v>
      </c>
      <c r="G112" s="474">
        <v>0</v>
      </c>
      <c r="H112" s="474">
        <v>-12936.71</v>
      </c>
      <c r="I112" s="474">
        <v>65394.09</v>
      </c>
      <c r="J112" s="474">
        <v>0</v>
      </c>
      <c r="K112" s="474">
        <v>0</v>
      </c>
      <c r="L112" s="474">
        <f t="shared" si="3"/>
        <v>486316.26</v>
      </c>
    </row>
    <row r="113" spans="1:12" ht="12.75" outlineLevel="1">
      <c r="A113" s="419" t="s">
        <v>1028</v>
      </c>
      <c r="C113" s="479"/>
      <c r="D113" s="457" t="s">
        <v>1029</v>
      </c>
      <c r="E113" s="480" t="str">
        <f t="shared" si="2"/>
        <v>MERCANTILE MO PROF</v>
      </c>
      <c r="F113" s="465">
        <v>672474.18</v>
      </c>
      <c r="G113" s="474">
        <v>0</v>
      </c>
      <c r="H113" s="474">
        <v>-20051.67</v>
      </c>
      <c r="I113" s="474">
        <v>101359.78</v>
      </c>
      <c r="J113" s="474">
        <v>0</v>
      </c>
      <c r="K113" s="474">
        <v>0</v>
      </c>
      <c r="L113" s="474">
        <f t="shared" si="3"/>
        <v>753782.29</v>
      </c>
    </row>
    <row r="114" spans="1:12" ht="12.75" outlineLevel="1">
      <c r="A114" s="419" t="s">
        <v>1030</v>
      </c>
      <c r="C114" s="479"/>
      <c r="D114" s="457" t="s">
        <v>1031</v>
      </c>
      <c r="E114" s="480" t="str">
        <f t="shared" si="2"/>
        <v>N CLAYPOOL MEM FUND</v>
      </c>
      <c r="F114" s="465">
        <v>37575.73</v>
      </c>
      <c r="G114" s="474">
        <v>0</v>
      </c>
      <c r="H114" s="474">
        <v>-1120.43</v>
      </c>
      <c r="I114" s="474">
        <v>5663.67</v>
      </c>
      <c r="J114" s="474">
        <v>0</v>
      </c>
      <c r="K114" s="474">
        <v>0</v>
      </c>
      <c r="L114" s="474">
        <f t="shared" si="3"/>
        <v>42118.97</v>
      </c>
    </row>
    <row r="115" spans="1:12" ht="12.75" outlineLevel="1">
      <c r="A115" s="419" t="s">
        <v>1032</v>
      </c>
      <c r="C115" s="479"/>
      <c r="D115" s="457" t="s">
        <v>1033</v>
      </c>
      <c r="E115" s="480" t="str">
        <f t="shared" si="2"/>
        <v>PROF IN CITIZEN EDUC</v>
      </c>
      <c r="F115" s="465">
        <v>799137.87</v>
      </c>
      <c r="G115" s="474">
        <v>0</v>
      </c>
      <c r="H115" s="474">
        <v>-23828.49</v>
      </c>
      <c r="I115" s="474">
        <v>120451.36</v>
      </c>
      <c r="J115" s="474">
        <v>0</v>
      </c>
      <c r="K115" s="474">
        <v>0</v>
      </c>
      <c r="L115" s="474">
        <f t="shared" si="3"/>
        <v>895760.74</v>
      </c>
    </row>
    <row r="116" spans="1:12" ht="12.75" outlineLevel="1">
      <c r="A116" s="419" t="s">
        <v>1034</v>
      </c>
      <c r="C116" s="479"/>
      <c r="D116" s="457" t="s">
        <v>1035</v>
      </c>
      <c r="E116" s="480" t="str">
        <f t="shared" si="2"/>
        <v>HARRIS ECOLOGY LECT</v>
      </c>
      <c r="F116" s="465">
        <v>17600.28</v>
      </c>
      <c r="G116" s="474">
        <v>0</v>
      </c>
      <c r="H116" s="474">
        <v>-524.81</v>
      </c>
      <c r="I116" s="474">
        <v>2652.8</v>
      </c>
      <c r="J116" s="474">
        <v>0</v>
      </c>
      <c r="K116" s="474">
        <v>0</v>
      </c>
      <c r="L116" s="474">
        <f t="shared" si="3"/>
        <v>19728.269999999997</v>
      </c>
    </row>
    <row r="117" spans="1:12" ht="12.75" outlineLevel="1">
      <c r="A117" s="419" t="s">
        <v>1036</v>
      </c>
      <c r="C117" s="479"/>
      <c r="D117" s="457" t="s">
        <v>1037</v>
      </c>
      <c r="E117" s="480" t="str">
        <f t="shared" si="2"/>
        <v>HAYEK PROF ECON HIST</v>
      </c>
      <c r="F117" s="465">
        <v>497453.88</v>
      </c>
      <c r="G117" s="474">
        <v>0</v>
      </c>
      <c r="H117" s="474">
        <v>-14832.96</v>
      </c>
      <c r="I117" s="474">
        <v>74979.53</v>
      </c>
      <c r="J117" s="474">
        <v>0</v>
      </c>
      <c r="K117" s="474">
        <v>0</v>
      </c>
      <c r="L117" s="474">
        <f t="shared" si="3"/>
        <v>557600.45</v>
      </c>
    </row>
    <row r="118" spans="1:12" ht="12.75" outlineLevel="1">
      <c r="A118" s="419" t="s">
        <v>1038</v>
      </c>
      <c r="C118" s="479"/>
      <c r="D118" s="457" t="s">
        <v>1039</v>
      </c>
      <c r="E118" s="480" t="str">
        <f t="shared" si="2"/>
        <v>E DES LEE FAM PROF</v>
      </c>
      <c r="F118" s="465">
        <v>841770.81</v>
      </c>
      <c r="G118" s="474">
        <v>0</v>
      </c>
      <c r="H118" s="474">
        <v>-25099.71</v>
      </c>
      <c r="I118" s="474">
        <v>126877.24</v>
      </c>
      <c r="J118" s="474">
        <v>0</v>
      </c>
      <c r="K118" s="474">
        <v>0</v>
      </c>
      <c r="L118" s="474">
        <f t="shared" si="3"/>
        <v>943548.3400000001</v>
      </c>
    </row>
    <row r="119" spans="1:12" ht="12.75" outlineLevel="1">
      <c r="A119" s="419" t="s">
        <v>1040</v>
      </c>
      <c r="C119" s="479"/>
      <c r="D119" s="457" t="s">
        <v>1041</v>
      </c>
      <c r="E119" s="480" t="str">
        <f t="shared" si="2"/>
        <v>D LEE FAMILY PROF II</v>
      </c>
      <c r="F119" s="465">
        <v>704404.29</v>
      </c>
      <c r="G119" s="474">
        <v>0</v>
      </c>
      <c r="H119" s="474">
        <v>-21003.76</v>
      </c>
      <c r="I119" s="474">
        <v>106172.49</v>
      </c>
      <c r="J119" s="474">
        <v>0</v>
      </c>
      <c r="K119" s="474">
        <v>0</v>
      </c>
      <c r="L119" s="474">
        <f t="shared" si="3"/>
        <v>789573.02</v>
      </c>
    </row>
    <row r="120" spans="1:12" ht="12.75" outlineLevel="1">
      <c r="A120" s="419" t="s">
        <v>1042</v>
      </c>
      <c r="C120" s="479"/>
      <c r="D120" s="457" t="s">
        <v>1043</v>
      </c>
      <c r="E120" s="480" t="str">
        <f t="shared" si="2"/>
        <v>D LEE ART EDUC</v>
      </c>
      <c r="F120" s="465">
        <v>661622.04</v>
      </c>
      <c r="G120" s="474">
        <v>0</v>
      </c>
      <c r="H120" s="474">
        <v>-19728.06</v>
      </c>
      <c r="I120" s="474">
        <v>99724.08</v>
      </c>
      <c r="J120" s="474">
        <v>0</v>
      </c>
      <c r="K120" s="474">
        <v>0</v>
      </c>
      <c r="L120" s="474">
        <f t="shared" si="3"/>
        <v>741618.0599999999</v>
      </c>
    </row>
    <row r="121" spans="1:12" ht="12.75" outlineLevel="1">
      <c r="A121" s="419" t="s">
        <v>1044</v>
      </c>
      <c r="C121" s="479"/>
      <c r="D121" s="457" t="s">
        <v>1045</v>
      </c>
      <c r="E121" s="480" t="str">
        <f t="shared" si="2"/>
        <v>LEE PROF MUSEUM HIST</v>
      </c>
      <c r="F121" s="465">
        <v>661622.04</v>
      </c>
      <c r="G121" s="474">
        <v>0</v>
      </c>
      <c r="H121" s="474">
        <v>-19728.06</v>
      </c>
      <c r="I121" s="474">
        <v>99724.08</v>
      </c>
      <c r="J121" s="474">
        <v>0</v>
      </c>
      <c r="K121" s="474">
        <v>0</v>
      </c>
      <c r="L121" s="474">
        <f t="shared" si="3"/>
        <v>741618.0599999999</v>
      </c>
    </row>
    <row r="122" spans="1:12" ht="12.75" outlineLevel="1">
      <c r="A122" s="419" t="s">
        <v>1046</v>
      </c>
      <c r="C122" s="479"/>
      <c r="D122" s="457" t="s">
        <v>1047</v>
      </c>
      <c r="E122" s="480" t="str">
        <f t="shared" si="2"/>
        <v>LEE MUSIC EDUCATION</v>
      </c>
      <c r="F122" s="465">
        <v>653588.53</v>
      </c>
      <c r="G122" s="474">
        <v>100</v>
      </c>
      <c r="H122" s="474">
        <v>-19485.77</v>
      </c>
      <c r="I122" s="474">
        <v>98518.66</v>
      </c>
      <c r="J122" s="474">
        <v>0</v>
      </c>
      <c r="K122" s="474">
        <v>0</v>
      </c>
      <c r="L122" s="474">
        <f t="shared" si="3"/>
        <v>732721.42</v>
      </c>
    </row>
    <row r="123" spans="1:12" ht="12.75" outlineLevel="1">
      <c r="A123" s="419" t="s">
        <v>1048</v>
      </c>
      <c r="C123" s="479"/>
      <c r="D123" s="457" t="s">
        <v>1049</v>
      </c>
      <c r="E123" s="480" t="str">
        <f t="shared" si="2"/>
        <v>LEE PROF BOTANICAL</v>
      </c>
      <c r="F123" s="465">
        <v>653551.27</v>
      </c>
      <c r="G123" s="474">
        <v>0</v>
      </c>
      <c r="H123" s="474">
        <v>-19487.41</v>
      </c>
      <c r="I123" s="474">
        <v>98507.58</v>
      </c>
      <c r="J123" s="474">
        <v>0</v>
      </c>
      <c r="K123" s="474">
        <v>0</v>
      </c>
      <c r="L123" s="474">
        <f t="shared" si="3"/>
        <v>732571.44</v>
      </c>
    </row>
    <row r="124" spans="1:12" ht="12.75" outlineLevel="1">
      <c r="A124" s="419" t="s">
        <v>1050</v>
      </c>
      <c r="C124" s="479"/>
      <c r="D124" s="457" t="s">
        <v>1051</v>
      </c>
      <c r="E124" s="480" t="str">
        <f t="shared" si="2"/>
        <v>LEE PROF ZOO STUDIES</v>
      </c>
      <c r="F124" s="465">
        <v>653721.13</v>
      </c>
      <c r="G124" s="474">
        <v>0</v>
      </c>
      <c r="H124" s="474">
        <v>-19492.49</v>
      </c>
      <c r="I124" s="474">
        <v>98533.18</v>
      </c>
      <c r="J124" s="474">
        <v>0</v>
      </c>
      <c r="K124" s="474">
        <v>0</v>
      </c>
      <c r="L124" s="474">
        <f t="shared" si="3"/>
        <v>732761.8200000001</v>
      </c>
    </row>
    <row r="125" spans="1:12" ht="12.75" outlineLevel="1">
      <c r="A125" s="419" t="s">
        <v>1052</v>
      </c>
      <c r="C125" s="479"/>
      <c r="D125" s="457" t="s">
        <v>1053</v>
      </c>
      <c r="E125" s="480" t="str">
        <f t="shared" si="2"/>
        <v>D LEE PROF URBAN EDU</v>
      </c>
      <c r="F125" s="465">
        <v>645765.37</v>
      </c>
      <c r="G125" s="474">
        <v>0</v>
      </c>
      <c r="H125" s="474">
        <v>-19255.28</v>
      </c>
      <c r="I125" s="474">
        <v>97334.01</v>
      </c>
      <c r="J125" s="474">
        <v>0</v>
      </c>
      <c r="K125" s="474">
        <v>0</v>
      </c>
      <c r="L125" s="474">
        <f t="shared" si="3"/>
        <v>723844.1</v>
      </c>
    </row>
    <row r="126" spans="1:12" ht="12.75" outlineLevel="1">
      <c r="A126" s="419" t="s">
        <v>1054</v>
      </c>
      <c r="C126" s="479"/>
      <c r="D126" s="457" t="s">
        <v>1055</v>
      </c>
      <c r="E126" s="480" t="str">
        <f t="shared" si="2"/>
        <v>D LEE PROF TUTORIAL</v>
      </c>
      <c r="F126" s="465">
        <v>645847.91</v>
      </c>
      <c r="G126" s="474">
        <v>0</v>
      </c>
      <c r="H126" s="474">
        <v>-19257.76</v>
      </c>
      <c r="I126" s="474">
        <v>97346.47</v>
      </c>
      <c r="J126" s="474">
        <v>0</v>
      </c>
      <c r="K126" s="474">
        <v>0</v>
      </c>
      <c r="L126" s="474">
        <f t="shared" si="3"/>
        <v>723936.62</v>
      </c>
    </row>
    <row r="127" spans="1:12" ht="12.75" outlineLevel="1">
      <c r="A127" s="419" t="s">
        <v>1056</v>
      </c>
      <c r="C127" s="479"/>
      <c r="D127" s="457" t="s">
        <v>1057</v>
      </c>
      <c r="E127" s="480" t="str">
        <f t="shared" si="2"/>
        <v>MCDONNELL PROFESSOR</v>
      </c>
      <c r="F127" s="465">
        <v>640856.47</v>
      </c>
      <c r="G127" s="474">
        <v>0</v>
      </c>
      <c r="H127" s="474">
        <v>-19079.61</v>
      </c>
      <c r="I127" s="474">
        <v>96465.47</v>
      </c>
      <c r="J127" s="474">
        <v>0</v>
      </c>
      <c r="K127" s="474">
        <v>0</v>
      </c>
      <c r="L127" s="474">
        <f t="shared" si="3"/>
        <v>718242.33</v>
      </c>
    </row>
    <row r="128" spans="1:12" ht="12.75" outlineLevel="1">
      <c r="A128" s="419" t="s">
        <v>1058</v>
      </c>
      <c r="C128" s="479"/>
      <c r="D128" s="457" t="s">
        <v>1059</v>
      </c>
      <c r="E128" s="480" t="str">
        <f t="shared" si="2"/>
        <v>D LEE PUBLIC POLICY</v>
      </c>
      <c r="F128" s="465">
        <v>524779.6</v>
      </c>
      <c r="G128" s="474">
        <v>0</v>
      </c>
      <c r="H128" s="474">
        <v>-15647.75</v>
      </c>
      <c r="I128" s="474">
        <v>79098.25</v>
      </c>
      <c r="J128" s="474">
        <v>0</v>
      </c>
      <c r="K128" s="474">
        <v>0</v>
      </c>
      <c r="L128" s="474">
        <f t="shared" si="3"/>
        <v>588230.1</v>
      </c>
    </row>
    <row r="129" spans="1:12" ht="12.75" outlineLevel="1">
      <c r="A129" s="419" t="s">
        <v>1060</v>
      </c>
      <c r="C129" s="479"/>
      <c r="D129" s="457" t="s">
        <v>1061</v>
      </c>
      <c r="E129" s="480" t="str">
        <f t="shared" si="2"/>
        <v>D LEE YOUTH VIOLENC</v>
      </c>
      <c r="F129" s="465">
        <v>524801.03</v>
      </c>
      <c r="G129" s="474">
        <v>0</v>
      </c>
      <c r="H129" s="474">
        <v>-15648.38</v>
      </c>
      <c r="I129" s="474">
        <v>79101.46</v>
      </c>
      <c r="J129" s="474">
        <v>0</v>
      </c>
      <c r="K129" s="474">
        <v>0</v>
      </c>
      <c r="L129" s="474">
        <f t="shared" si="3"/>
        <v>588254.11</v>
      </c>
    </row>
    <row r="130" spans="1:12" ht="12.75" outlineLevel="1">
      <c r="A130" s="419" t="s">
        <v>1062</v>
      </c>
      <c r="C130" s="479"/>
      <c r="D130" s="457" t="s">
        <v>1063</v>
      </c>
      <c r="E130" s="480" t="str">
        <f t="shared" si="2"/>
        <v>GREEK PROFESSORSHIP</v>
      </c>
      <c r="F130" s="465">
        <v>822623.55</v>
      </c>
      <c r="G130" s="474">
        <v>0</v>
      </c>
      <c r="H130" s="474">
        <v>-24528.8</v>
      </c>
      <c r="I130" s="474">
        <v>123991.26</v>
      </c>
      <c r="J130" s="474">
        <v>0</v>
      </c>
      <c r="K130" s="474">
        <v>3683.78</v>
      </c>
      <c r="L130" s="474">
        <f t="shared" si="3"/>
        <v>925769.79</v>
      </c>
    </row>
    <row r="131" spans="1:12" ht="12.75" outlineLevel="1">
      <c r="A131" s="419" t="s">
        <v>1064</v>
      </c>
      <c r="C131" s="479"/>
      <c r="D131" s="457" t="s">
        <v>1065</v>
      </c>
      <c r="E131" s="480" t="str">
        <f t="shared" si="2"/>
        <v>MCFERRIN END ARTS</v>
      </c>
      <c r="F131" s="465">
        <v>26005.06</v>
      </c>
      <c r="G131" s="474">
        <v>0</v>
      </c>
      <c r="H131" s="474">
        <v>-775.42</v>
      </c>
      <c r="I131" s="474">
        <v>3919.66</v>
      </c>
      <c r="J131" s="474">
        <v>0</v>
      </c>
      <c r="K131" s="474">
        <v>0</v>
      </c>
      <c r="L131" s="474">
        <f t="shared" si="3"/>
        <v>29149.300000000003</v>
      </c>
    </row>
    <row r="132" spans="1:12" ht="12.75" outlineLevel="1">
      <c r="A132" s="419" t="s">
        <v>1066</v>
      </c>
      <c r="C132" s="479"/>
      <c r="D132" s="457" t="s">
        <v>1067</v>
      </c>
      <c r="E132" s="480" t="str">
        <f t="shared" si="2"/>
        <v>KENNETH MILLER ENDOW</v>
      </c>
      <c r="F132" s="465">
        <v>9669.13</v>
      </c>
      <c r="G132" s="474">
        <v>0</v>
      </c>
      <c r="H132" s="474">
        <v>-288.32</v>
      </c>
      <c r="I132" s="474">
        <v>1457.41</v>
      </c>
      <c r="J132" s="474">
        <v>0</v>
      </c>
      <c r="K132" s="474">
        <v>0</v>
      </c>
      <c r="L132" s="474">
        <f t="shared" si="3"/>
        <v>10838.22</v>
      </c>
    </row>
    <row r="133" spans="1:12" ht="12.75" outlineLevel="1">
      <c r="A133" s="419" t="s">
        <v>1068</v>
      </c>
      <c r="C133" s="479"/>
      <c r="D133" s="457" t="s">
        <v>1069</v>
      </c>
      <c r="E133" s="480" t="str">
        <f t="shared" si="2"/>
        <v>MOOG NURSING PROF</v>
      </c>
      <c r="F133" s="465">
        <v>889083.32</v>
      </c>
      <c r="G133" s="474">
        <v>0</v>
      </c>
      <c r="H133" s="474">
        <v>-26510.46</v>
      </c>
      <c r="I133" s="474">
        <v>134008.53</v>
      </c>
      <c r="J133" s="474">
        <v>0</v>
      </c>
      <c r="K133" s="474">
        <v>0</v>
      </c>
      <c r="L133" s="474">
        <f t="shared" si="3"/>
        <v>996581.39</v>
      </c>
    </row>
    <row r="134" spans="1:12" ht="12.75" outlineLevel="1">
      <c r="A134" s="419" t="s">
        <v>1070</v>
      </c>
      <c r="C134" s="479"/>
      <c r="D134" s="457" t="s">
        <v>1071</v>
      </c>
      <c r="E134" s="480" t="str">
        <f t="shared" si="2"/>
        <v>PELICAN LECTURE</v>
      </c>
      <c r="F134" s="465">
        <v>30715.45</v>
      </c>
      <c r="G134" s="474">
        <v>0</v>
      </c>
      <c r="H134" s="474">
        <v>-915.87</v>
      </c>
      <c r="I134" s="474">
        <v>4629.63</v>
      </c>
      <c r="J134" s="474">
        <v>0</v>
      </c>
      <c r="K134" s="474">
        <v>0</v>
      </c>
      <c r="L134" s="474">
        <f t="shared" si="3"/>
        <v>34429.21</v>
      </c>
    </row>
    <row r="135" spans="1:12" ht="12.75" outlineLevel="1">
      <c r="A135" s="419" t="s">
        <v>1072</v>
      </c>
      <c r="C135" s="479"/>
      <c r="D135" s="457" t="s">
        <v>1073</v>
      </c>
      <c r="E135" s="480" t="str">
        <f t="shared" si="2"/>
        <v>WM ORTHWEIN PROF SCI</v>
      </c>
      <c r="F135" s="465">
        <v>669292.83</v>
      </c>
      <c r="G135" s="474">
        <v>0</v>
      </c>
      <c r="H135" s="474">
        <v>-19956.81</v>
      </c>
      <c r="I135" s="474">
        <v>100880.25</v>
      </c>
      <c r="J135" s="474">
        <v>0</v>
      </c>
      <c r="K135" s="474">
        <v>0</v>
      </c>
      <c r="L135" s="474">
        <f t="shared" si="3"/>
        <v>750216.2699999999</v>
      </c>
    </row>
    <row r="136" spans="1:12" ht="12.75" outlineLevel="1">
      <c r="A136" s="419" t="s">
        <v>1074</v>
      </c>
      <c r="C136" s="479"/>
      <c r="D136" s="457" t="s">
        <v>1075</v>
      </c>
      <c r="E136" s="480" t="str">
        <f t="shared" si="2"/>
        <v>PRIMM LECTURE SERIES</v>
      </c>
      <c r="F136" s="465">
        <v>60715.95</v>
      </c>
      <c r="G136" s="474">
        <v>500</v>
      </c>
      <c r="H136" s="474">
        <v>-1804.15</v>
      </c>
      <c r="I136" s="474">
        <v>9158.31</v>
      </c>
      <c r="J136" s="474">
        <v>0</v>
      </c>
      <c r="K136" s="474">
        <v>0</v>
      </c>
      <c r="L136" s="474">
        <f t="shared" si="3"/>
        <v>68570.11</v>
      </c>
    </row>
    <row r="137" spans="1:12" ht="12.75" outlineLevel="1">
      <c r="A137" s="419" t="s">
        <v>1076</v>
      </c>
      <c r="C137" s="479"/>
      <c r="D137" s="457" t="s">
        <v>1077</v>
      </c>
      <c r="E137" s="480" t="str">
        <f aca="true" t="shared" si="4" ref="E137:E200">UPPER(D137)</f>
        <v>VAN UUM FD SHEAR IN</v>
      </c>
      <c r="F137" s="465">
        <v>34171.12</v>
      </c>
      <c r="G137" s="474">
        <v>0</v>
      </c>
      <c r="H137" s="474">
        <v>-305.04</v>
      </c>
      <c r="I137" s="474">
        <v>1541.96</v>
      </c>
      <c r="J137" s="474">
        <v>0</v>
      </c>
      <c r="K137" s="474">
        <v>0</v>
      </c>
      <c r="L137" s="474">
        <f t="shared" si="3"/>
        <v>35408.04</v>
      </c>
    </row>
    <row r="138" spans="1:12" ht="12.75" outlineLevel="1">
      <c r="A138" s="419" t="s">
        <v>1078</v>
      </c>
      <c r="C138" s="479"/>
      <c r="D138" s="457" t="s">
        <v>1079</v>
      </c>
      <c r="E138" s="480" t="str">
        <f t="shared" si="4"/>
        <v>PROF JAPAN STUDIES</v>
      </c>
      <c r="F138" s="465">
        <v>507941.59</v>
      </c>
      <c r="G138" s="474">
        <v>0</v>
      </c>
      <c r="H138" s="474">
        <v>-15145.67</v>
      </c>
      <c r="I138" s="474">
        <v>76560.3</v>
      </c>
      <c r="J138" s="474">
        <v>0</v>
      </c>
      <c r="K138" s="474">
        <v>0</v>
      </c>
      <c r="L138" s="474">
        <f aca="true" t="shared" si="5" ref="L138:L201">F138+G138+H138+I138-J138+K138</f>
        <v>569356.2200000001</v>
      </c>
    </row>
    <row r="139" spans="1:12" ht="12.75" outlineLevel="1">
      <c r="A139" s="419" t="s">
        <v>1080</v>
      </c>
      <c r="C139" s="479"/>
      <c r="D139" s="457" t="s">
        <v>1081</v>
      </c>
      <c r="E139" s="480" t="str">
        <f t="shared" si="4"/>
        <v>SHUMAN LIBRARY MEM</v>
      </c>
      <c r="F139" s="465">
        <v>6101.6</v>
      </c>
      <c r="G139" s="474">
        <v>0</v>
      </c>
      <c r="H139" s="474">
        <v>-181.94</v>
      </c>
      <c r="I139" s="474">
        <v>919.68</v>
      </c>
      <c r="J139" s="474">
        <v>0</v>
      </c>
      <c r="K139" s="474">
        <v>0</v>
      </c>
      <c r="L139" s="474">
        <f t="shared" si="5"/>
        <v>6839.340000000001</v>
      </c>
    </row>
    <row r="140" spans="1:12" ht="12.75" outlineLevel="1">
      <c r="A140" s="419" t="s">
        <v>1082</v>
      </c>
      <c r="C140" s="479"/>
      <c r="D140" s="457" t="s">
        <v>1083</v>
      </c>
      <c r="E140" s="480" t="str">
        <f t="shared" si="4"/>
        <v>ST LOUIS STUDENT INV</v>
      </c>
      <c r="F140" s="465">
        <v>61839.46</v>
      </c>
      <c r="G140" s="474">
        <v>445</v>
      </c>
      <c r="H140" s="474">
        <v>-422.78</v>
      </c>
      <c r="I140" s="474">
        <v>15895.47</v>
      </c>
      <c r="J140" s="474">
        <v>0</v>
      </c>
      <c r="K140" s="474">
        <v>0</v>
      </c>
      <c r="L140" s="474">
        <f t="shared" si="5"/>
        <v>77757.15</v>
      </c>
    </row>
    <row r="141" spans="1:12" ht="12.75" outlineLevel="1">
      <c r="A141" s="419" t="s">
        <v>1084</v>
      </c>
      <c r="C141" s="479"/>
      <c r="D141" s="457" t="s">
        <v>1085</v>
      </c>
      <c r="E141" s="480" t="str">
        <f t="shared" si="4"/>
        <v>SMURFIT-STONE ENDOW PROF</v>
      </c>
      <c r="F141" s="465">
        <v>662373.44</v>
      </c>
      <c r="G141" s="474">
        <v>0</v>
      </c>
      <c r="H141" s="474">
        <v>-19750.48</v>
      </c>
      <c r="I141" s="474">
        <v>99837.32</v>
      </c>
      <c r="J141" s="474">
        <v>0</v>
      </c>
      <c r="K141" s="474">
        <v>0</v>
      </c>
      <c r="L141" s="474">
        <f t="shared" si="5"/>
        <v>742460.28</v>
      </c>
    </row>
    <row r="142" spans="1:12" ht="12.75" outlineLevel="1">
      <c r="A142" s="419" t="s">
        <v>1086</v>
      </c>
      <c r="C142" s="479"/>
      <c r="D142" s="457" t="s">
        <v>1087</v>
      </c>
      <c r="E142" s="480" t="str">
        <f t="shared" si="4"/>
        <v>TOMAZI MEM RESEARCH</v>
      </c>
      <c r="F142" s="465">
        <v>16543.21</v>
      </c>
      <c r="G142" s="474">
        <v>0</v>
      </c>
      <c r="H142" s="474">
        <v>-493.3</v>
      </c>
      <c r="I142" s="474">
        <v>2493.51</v>
      </c>
      <c r="J142" s="474">
        <v>0</v>
      </c>
      <c r="K142" s="474">
        <v>0</v>
      </c>
      <c r="L142" s="474">
        <f t="shared" si="5"/>
        <v>18543.42</v>
      </c>
    </row>
    <row r="143" spans="1:12" ht="12.75" outlineLevel="1">
      <c r="A143" s="419" t="s">
        <v>1088</v>
      </c>
      <c r="C143" s="479"/>
      <c r="D143" s="457" t="s">
        <v>1089</v>
      </c>
      <c r="E143" s="480" t="str">
        <f t="shared" si="4"/>
        <v>TSIANG CHINESE PROF</v>
      </c>
      <c r="F143" s="465">
        <v>675073.11</v>
      </c>
      <c r="G143" s="474">
        <v>0</v>
      </c>
      <c r="H143" s="474">
        <v>-20129.16</v>
      </c>
      <c r="I143" s="474">
        <v>101751.48</v>
      </c>
      <c r="J143" s="474">
        <v>0</v>
      </c>
      <c r="K143" s="474">
        <v>0</v>
      </c>
      <c r="L143" s="474">
        <f t="shared" si="5"/>
        <v>756695.4299999999</v>
      </c>
    </row>
    <row r="144" spans="1:12" ht="12.75" outlineLevel="1">
      <c r="A144" s="419" t="s">
        <v>1090</v>
      </c>
      <c r="C144" s="479"/>
      <c r="D144" s="457" t="s">
        <v>1091</v>
      </c>
      <c r="E144" s="480" t="str">
        <f t="shared" si="4"/>
        <v>AFRICAN-AMER SCHLP</v>
      </c>
      <c r="F144" s="465">
        <v>11107.26</v>
      </c>
      <c r="G144" s="474">
        <v>2732.04</v>
      </c>
      <c r="H144" s="474">
        <v>-289.87</v>
      </c>
      <c r="I144" s="474">
        <v>1716.35</v>
      </c>
      <c r="J144" s="474">
        <v>0</v>
      </c>
      <c r="K144" s="474">
        <v>0</v>
      </c>
      <c r="L144" s="474">
        <f t="shared" si="5"/>
        <v>15265.779999999999</v>
      </c>
    </row>
    <row r="145" spans="1:13" ht="12.75" outlineLevel="1">
      <c r="A145" s="419" t="s">
        <v>1092</v>
      </c>
      <c r="C145" s="479"/>
      <c r="D145" s="457" t="s">
        <v>1093</v>
      </c>
      <c r="E145" s="445" t="str">
        <f t="shared" si="4"/>
        <v>ANDERSEN CONSULT SC</v>
      </c>
      <c r="F145" s="473">
        <v>19037.05</v>
      </c>
      <c r="G145" s="474">
        <v>0</v>
      </c>
      <c r="H145" s="474">
        <v>-567.65</v>
      </c>
      <c r="I145" s="474">
        <v>2869.39</v>
      </c>
      <c r="J145" s="474">
        <v>0</v>
      </c>
      <c r="K145" s="474">
        <v>0</v>
      </c>
      <c r="L145" s="474">
        <f t="shared" si="5"/>
        <v>21338.789999999997</v>
      </c>
      <c r="M145" s="479"/>
    </row>
    <row r="146" spans="1:14" s="519" customFormat="1" ht="12.75" outlineLevel="1">
      <c r="A146" s="519" t="s">
        <v>1094</v>
      </c>
      <c r="B146" s="520"/>
      <c r="C146" s="479"/>
      <c r="D146" s="479" t="s">
        <v>1095</v>
      </c>
      <c r="E146" s="524" t="str">
        <f t="shared" si="4"/>
        <v>E JONES ALUMNI SCHLP</v>
      </c>
      <c r="F146" s="526">
        <v>63657.64</v>
      </c>
      <c r="G146" s="523">
        <v>0</v>
      </c>
      <c r="H146" s="523">
        <v>-1898.12</v>
      </c>
      <c r="I146" s="523">
        <v>9594.9</v>
      </c>
      <c r="J146" s="523">
        <v>0</v>
      </c>
      <c r="K146" s="523">
        <v>0</v>
      </c>
      <c r="L146" s="523">
        <f t="shared" si="5"/>
        <v>71354.42</v>
      </c>
      <c r="M146" s="479"/>
      <c r="N146" s="524"/>
    </row>
    <row r="147" spans="1:13" ht="12.75" outlineLevel="1">
      <c r="A147" s="419" t="s">
        <v>1096</v>
      </c>
      <c r="D147" s="457" t="s">
        <v>1097</v>
      </c>
      <c r="E147" s="445" t="str">
        <f t="shared" si="4"/>
        <v>PROF LEARNING &amp; TECH</v>
      </c>
      <c r="F147" s="473">
        <v>526274.72</v>
      </c>
      <c r="G147" s="474">
        <v>0</v>
      </c>
      <c r="H147" s="474">
        <v>-15720.04</v>
      </c>
      <c r="I147" s="474">
        <v>79298.59</v>
      </c>
      <c r="J147" s="474">
        <v>0</v>
      </c>
      <c r="K147" s="474">
        <v>0</v>
      </c>
      <c r="L147" s="474">
        <f t="shared" si="5"/>
        <v>589853.27</v>
      </c>
      <c r="M147" s="457"/>
    </row>
    <row r="148" spans="1:14" s="519" customFormat="1" ht="12.75" outlineLevel="1">
      <c r="A148" s="519" t="s">
        <v>1098</v>
      </c>
      <c r="B148" s="520"/>
      <c r="C148" s="479"/>
      <c r="D148" s="479" t="s">
        <v>1099</v>
      </c>
      <c r="E148" s="521" t="str">
        <f t="shared" si="4"/>
        <v>FEDDER LECTURE</v>
      </c>
      <c r="F148" s="522">
        <v>17890.38</v>
      </c>
      <c r="G148" s="523">
        <v>500</v>
      </c>
      <c r="H148" s="523">
        <v>-388.96</v>
      </c>
      <c r="I148" s="523">
        <v>2806.49</v>
      </c>
      <c r="J148" s="523">
        <v>0</v>
      </c>
      <c r="K148" s="523">
        <v>2100</v>
      </c>
      <c r="L148" s="523">
        <f t="shared" si="5"/>
        <v>22907.910000000003</v>
      </c>
      <c r="M148" s="481"/>
      <c r="N148" s="524"/>
    </row>
    <row r="149" spans="1:12" ht="12.75" outlineLevel="1">
      <c r="A149" s="419" t="s">
        <v>1100</v>
      </c>
      <c r="C149" s="479"/>
      <c r="D149" s="457" t="s">
        <v>1101</v>
      </c>
      <c r="E149" s="480" t="str">
        <f t="shared" si="4"/>
        <v>STRASSENFEST FUND-GERMAN STUD</v>
      </c>
      <c r="F149" s="465">
        <v>14229.01</v>
      </c>
      <c r="G149" s="474">
        <v>0</v>
      </c>
      <c r="H149" s="474">
        <v>305.62</v>
      </c>
      <c r="I149" s="474">
        <v>2207.5</v>
      </c>
      <c r="J149" s="474">
        <v>0</v>
      </c>
      <c r="K149" s="474">
        <v>0</v>
      </c>
      <c r="L149" s="474">
        <f t="shared" si="5"/>
        <v>16742.13</v>
      </c>
    </row>
    <row r="150" spans="1:12" ht="12.75" outlineLevel="1">
      <c r="A150" s="419" t="s">
        <v>1102</v>
      </c>
      <c r="C150" s="479"/>
      <c r="D150" s="457" t="s">
        <v>1103</v>
      </c>
      <c r="E150" s="480" t="str">
        <f t="shared" si="4"/>
        <v>GRAFMAN SCHOLARSHIP</v>
      </c>
      <c r="F150" s="465">
        <v>3448.5</v>
      </c>
      <c r="G150" s="474">
        <v>0</v>
      </c>
      <c r="H150" s="474">
        <v>71.5</v>
      </c>
      <c r="I150" s="474">
        <v>532</v>
      </c>
      <c r="J150" s="474">
        <v>0</v>
      </c>
      <c r="K150" s="474">
        <v>0</v>
      </c>
      <c r="L150" s="474">
        <f t="shared" si="5"/>
        <v>4052</v>
      </c>
    </row>
    <row r="151" spans="1:12" ht="12.75" outlineLevel="1">
      <c r="A151" s="419" t="s">
        <v>1104</v>
      </c>
      <c r="C151" s="479"/>
      <c r="D151" s="457" t="s">
        <v>1105</v>
      </c>
      <c r="E151" s="480" t="str">
        <f t="shared" si="4"/>
        <v>DAGMAR GRAHAM SCHLP</v>
      </c>
      <c r="F151" s="465">
        <v>8687.69</v>
      </c>
      <c r="G151" s="474">
        <v>0</v>
      </c>
      <c r="H151" s="474">
        <v>-259.05</v>
      </c>
      <c r="I151" s="474">
        <v>1309.47</v>
      </c>
      <c r="J151" s="474">
        <v>0</v>
      </c>
      <c r="K151" s="474">
        <v>0</v>
      </c>
      <c r="L151" s="474">
        <f t="shared" si="5"/>
        <v>9738.11</v>
      </c>
    </row>
    <row r="152" spans="1:12" ht="12.75" outlineLevel="1">
      <c r="A152" s="419" t="s">
        <v>1106</v>
      </c>
      <c r="C152" s="479"/>
      <c r="D152" s="457" t="s">
        <v>1107</v>
      </c>
      <c r="E152" s="480" t="str">
        <f t="shared" si="4"/>
        <v>KOUMPARAKIS-MOSS SCHOLARSHIP</v>
      </c>
      <c r="F152" s="465">
        <v>5604.76</v>
      </c>
      <c r="G152" s="474">
        <v>4351.6</v>
      </c>
      <c r="H152" s="474">
        <v>186.27</v>
      </c>
      <c r="I152" s="474">
        <v>997.26</v>
      </c>
      <c r="J152" s="474">
        <v>0</v>
      </c>
      <c r="K152" s="474">
        <v>0</v>
      </c>
      <c r="L152" s="474">
        <f t="shared" si="5"/>
        <v>11139.890000000001</v>
      </c>
    </row>
    <row r="153" spans="1:12" ht="12.75" outlineLevel="1">
      <c r="A153" s="419" t="s">
        <v>1108</v>
      </c>
      <c r="C153" s="479"/>
      <c r="D153" s="457" t="s">
        <v>1109</v>
      </c>
      <c r="E153" s="480" t="str">
        <f t="shared" si="4"/>
        <v>BETTY LEE SCHLP</v>
      </c>
      <c r="F153" s="465">
        <v>9636.26</v>
      </c>
      <c r="G153" s="474">
        <v>0</v>
      </c>
      <c r="H153" s="474">
        <v>199.92</v>
      </c>
      <c r="I153" s="474">
        <v>1494.65</v>
      </c>
      <c r="J153" s="474">
        <v>0</v>
      </c>
      <c r="K153" s="474">
        <v>0</v>
      </c>
      <c r="L153" s="474">
        <f t="shared" si="5"/>
        <v>11330.83</v>
      </c>
    </row>
    <row r="154" spans="1:12" ht="12.75" outlineLevel="1">
      <c r="A154" s="419" t="s">
        <v>1110</v>
      </c>
      <c r="C154" s="479"/>
      <c r="D154" s="457" t="s">
        <v>1111</v>
      </c>
      <c r="E154" s="480" t="str">
        <f t="shared" si="4"/>
        <v>DJM EVENG COLL SCHLP</v>
      </c>
      <c r="F154" s="465">
        <v>8074.42</v>
      </c>
      <c r="G154" s="474">
        <v>0</v>
      </c>
      <c r="H154" s="474">
        <v>167.98</v>
      </c>
      <c r="I154" s="474">
        <v>1304.6</v>
      </c>
      <c r="J154" s="474">
        <v>0</v>
      </c>
      <c r="K154" s="474">
        <v>0</v>
      </c>
      <c r="L154" s="474">
        <f t="shared" si="5"/>
        <v>9547</v>
      </c>
    </row>
    <row r="155" spans="1:12" ht="12.75" outlineLevel="1">
      <c r="A155" s="419" t="s">
        <v>1112</v>
      </c>
      <c r="C155" s="479"/>
      <c r="D155" s="457" t="s">
        <v>1113</v>
      </c>
      <c r="E155" s="480" t="str">
        <f t="shared" si="4"/>
        <v>MURRAY LECTURESHIP</v>
      </c>
      <c r="F155" s="465">
        <v>43463.93</v>
      </c>
      <c r="G155" s="474">
        <v>400</v>
      </c>
      <c r="H155" s="474">
        <v>-779.73</v>
      </c>
      <c r="I155" s="474">
        <v>6651.59</v>
      </c>
      <c r="J155" s="474">
        <v>0</v>
      </c>
      <c r="K155" s="474">
        <v>0</v>
      </c>
      <c r="L155" s="474">
        <f t="shared" si="5"/>
        <v>49735.78999999999</v>
      </c>
    </row>
    <row r="156" spans="1:12" ht="12.75" outlineLevel="1">
      <c r="A156" s="419" t="s">
        <v>1114</v>
      </c>
      <c r="C156" s="479"/>
      <c r="D156" s="457" t="s">
        <v>1115</v>
      </c>
      <c r="E156" s="480" t="str">
        <f t="shared" si="4"/>
        <v>J NILSON MEML SCHLP</v>
      </c>
      <c r="F156" s="465">
        <v>17476.29</v>
      </c>
      <c r="G156" s="474">
        <v>500</v>
      </c>
      <c r="H156" s="474">
        <v>-512</v>
      </c>
      <c r="I156" s="474">
        <v>2649.35</v>
      </c>
      <c r="J156" s="474">
        <v>0</v>
      </c>
      <c r="K156" s="474">
        <v>0</v>
      </c>
      <c r="L156" s="474">
        <f t="shared" si="5"/>
        <v>20113.64</v>
      </c>
    </row>
    <row r="157" spans="1:12" ht="12.75" outlineLevel="1">
      <c r="A157" s="419" t="s">
        <v>1116</v>
      </c>
      <c r="C157" s="479"/>
      <c r="D157" s="457" t="s">
        <v>1117</v>
      </c>
      <c r="E157" s="480" t="str">
        <f t="shared" si="4"/>
        <v>ANITA PALMER CORBIN SCHLP</v>
      </c>
      <c r="F157" s="465">
        <v>10868.13</v>
      </c>
      <c r="G157" s="474">
        <v>7311.2</v>
      </c>
      <c r="H157" s="474">
        <v>-178.4</v>
      </c>
      <c r="I157" s="474">
        <v>1669.12</v>
      </c>
      <c r="J157" s="474">
        <v>0</v>
      </c>
      <c r="K157" s="474">
        <v>0</v>
      </c>
      <c r="L157" s="474">
        <f t="shared" si="5"/>
        <v>19670.049999999996</v>
      </c>
    </row>
    <row r="158" spans="1:12" ht="12.75" outlineLevel="1">
      <c r="A158" s="419" t="s">
        <v>1118</v>
      </c>
      <c r="C158" s="479"/>
      <c r="D158" s="457" t="s">
        <v>1119</v>
      </c>
      <c r="E158" s="480" t="str">
        <f t="shared" si="4"/>
        <v>J &amp; M PORTER SCHLP</v>
      </c>
      <c r="F158" s="465">
        <v>10135.04</v>
      </c>
      <c r="G158" s="474">
        <v>20</v>
      </c>
      <c r="H158" s="474">
        <v>210.32</v>
      </c>
      <c r="I158" s="474">
        <v>1587.05</v>
      </c>
      <c r="J158" s="474">
        <v>0</v>
      </c>
      <c r="K158" s="474">
        <v>0</v>
      </c>
      <c r="L158" s="474">
        <f t="shared" si="5"/>
        <v>11952.41</v>
      </c>
    </row>
    <row r="159" spans="1:12" ht="12.75" outlineLevel="1">
      <c r="A159" s="419" t="s">
        <v>1120</v>
      </c>
      <c r="C159" s="479"/>
      <c r="D159" s="457" t="s">
        <v>1121</v>
      </c>
      <c r="E159" s="480" t="str">
        <f t="shared" si="4"/>
        <v>SANDERSON SCHOLARSHP</v>
      </c>
      <c r="F159" s="465">
        <v>33157.09</v>
      </c>
      <c r="G159" s="474">
        <v>0</v>
      </c>
      <c r="H159" s="474">
        <v>-988.67</v>
      </c>
      <c r="I159" s="474">
        <v>4997.69</v>
      </c>
      <c r="J159" s="474">
        <v>0</v>
      </c>
      <c r="K159" s="474">
        <v>0</v>
      </c>
      <c r="L159" s="474">
        <f t="shared" si="5"/>
        <v>37166.11</v>
      </c>
    </row>
    <row r="160" spans="1:12" ht="12.75" outlineLevel="1">
      <c r="A160" s="419" t="s">
        <v>1122</v>
      </c>
      <c r="C160" s="479"/>
      <c r="D160" s="457" t="s">
        <v>1123</v>
      </c>
      <c r="E160" s="480" t="str">
        <f t="shared" si="4"/>
        <v>CHUCK SMITH SCHLP</v>
      </c>
      <c r="F160" s="465">
        <v>3500.02</v>
      </c>
      <c r="G160" s="474">
        <v>1000</v>
      </c>
      <c r="H160" s="474">
        <v>82.68</v>
      </c>
      <c r="I160" s="474">
        <v>537.55</v>
      </c>
      <c r="J160" s="474">
        <v>0</v>
      </c>
      <c r="K160" s="474">
        <v>0</v>
      </c>
      <c r="L160" s="474">
        <f t="shared" si="5"/>
        <v>5120.250000000001</v>
      </c>
    </row>
    <row r="161" spans="1:12" ht="12.75" outlineLevel="1">
      <c r="A161" s="419" t="s">
        <v>1124</v>
      </c>
      <c r="C161" s="479"/>
      <c r="D161" s="457" t="s">
        <v>1125</v>
      </c>
      <c r="E161" s="480" t="str">
        <f t="shared" si="4"/>
        <v>WENDELL SMITH SCHLP</v>
      </c>
      <c r="F161" s="465">
        <v>2714.57</v>
      </c>
      <c r="G161" s="474">
        <v>500</v>
      </c>
      <c r="H161" s="474">
        <v>60.29</v>
      </c>
      <c r="I161" s="474">
        <v>416.24</v>
      </c>
      <c r="J161" s="474">
        <v>0</v>
      </c>
      <c r="K161" s="474">
        <v>0</v>
      </c>
      <c r="L161" s="474">
        <f t="shared" si="5"/>
        <v>3691.1000000000004</v>
      </c>
    </row>
    <row r="162" spans="1:12" ht="12.75" outlineLevel="1">
      <c r="A162" s="419" t="s">
        <v>1126</v>
      </c>
      <c r="C162" s="479"/>
      <c r="D162" s="457" t="s">
        <v>1127</v>
      </c>
      <c r="E162" s="480" t="str">
        <f t="shared" si="4"/>
        <v>JOHN DENVER SCHP</v>
      </c>
      <c r="F162" s="465">
        <v>55820.88</v>
      </c>
      <c r="G162" s="474">
        <v>3270</v>
      </c>
      <c r="H162" s="474">
        <v>-1592.26</v>
      </c>
      <c r="I162" s="474">
        <v>8493.8</v>
      </c>
      <c r="J162" s="474">
        <v>0</v>
      </c>
      <c r="K162" s="474">
        <v>0</v>
      </c>
      <c r="L162" s="474">
        <f t="shared" si="5"/>
        <v>65992.42</v>
      </c>
    </row>
    <row r="163" spans="1:12" ht="12.75" outlineLevel="1">
      <c r="A163" s="419" t="s">
        <v>1128</v>
      </c>
      <c r="C163" s="479"/>
      <c r="D163" s="457" t="s">
        <v>1129</v>
      </c>
      <c r="E163" s="480" t="str">
        <f t="shared" si="4"/>
        <v>JANE HARRIS SCHP</v>
      </c>
      <c r="F163" s="465">
        <v>17348.44</v>
      </c>
      <c r="G163" s="474">
        <v>0</v>
      </c>
      <c r="H163" s="474">
        <v>-500.82</v>
      </c>
      <c r="I163" s="474">
        <v>2576.6</v>
      </c>
      <c r="J163" s="474">
        <v>0</v>
      </c>
      <c r="K163" s="474">
        <v>0</v>
      </c>
      <c r="L163" s="474">
        <f t="shared" si="5"/>
        <v>19424.219999999998</v>
      </c>
    </row>
    <row r="164" spans="1:12" ht="12.75" outlineLevel="1">
      <c r="A164" s="419" t="s">
        <v>1130</v>
      </c>
      <c r="C164" s="479"/>
      <c r="D164" s="457" t="s">
        <v>1131</v>
      </c>
      <c r="E164" s="480" t="str">
        <f t="shared" si="4"/>
        <v>LARKIN SCHP FUND</v>
      </c>
      <c r="F164" s="465">
        <v>175116.52</v>
      </c>
      <c r="G164" s="474">
        <v>0</v>
      </c>
      <c r="H164" s="474">
        <v>-5221.14</v>
      </c>
      <c r="I164" s="474">
        <v>26394.92</v>
      </c>
      <c r="J164" s="474">
        <v>0</v>
      </c>
      <c r="K164" s="474">
        <v>0</v>
      </c>
      <c r="L164" s="474">
        <f t="shared" si="5"/>
        <v>196290.3</v>
      </c>
    </row>
    <row r="165" spans="1:12" ht="12.75" outlineLevel="1">
      <c r="A165" s="419" t="s">
        <v>1132</v>
      </c>
      <c r="C165" s="479"/>
      <c r="D165" s="457" t="s">
        <v>1133</v>
      </c>
      <c r="E165" s="480" t="str">
        <f t="shared" si="4"/>
        <v>STOKES FAMILY SCHP</v>
      </c>
      <c r="F165" s="465">
        <v>25863.14</v>
      </c>
      <c r="G165" s="474">
        <v>3997</v>
      </c>
      <c r="H165" s="474">
        <v>-665.76</v>
      </c>
      <c r="I165" s="474">
        <v>4055.46</v>
      </c>
      <c r="J165" s="474">
        <v>0</v>
      </c>
      <c r="K165" s="474">
        <v>0</v>
      </c>
      <c r="L165" s="474">
        <f t="shared" si="5"/>
        <v>33249.840000000004</v>
      </c>
    </row>
    <row r="166" spans="1:12" ht="12.75" outlineLevel="1">
      <c r="A166" s="419" t="s">
        <v>1134</v>
      </c>
      <c r="C166" s="479"/>
      <c r="D166" s="457" t="s">
        <v>1135</v>
      </c>
      <c r="E166" s="480" t="str">
        <f t="shared" si="4"/>
        <v>KWMU ENDOWMENT</v>
      </c>
      <c r="F166" s="465">
        <v>8893.02</v>
      </c>
      <c r="G166" s="474">
        <v>0</v>
      </c>
      <c r="H166" s="474">
        <v>-265.17</v>
      </c>
      <c r="I166" s="474">
        <v>1340.42</v>
      </c>
      <c r="J166" s="474">
        <v>0</v>
      </c>
      <c r="K166" s="474">
        <v>0</v>
      </c>
      <c r="L166" s="474">
        <f t="shared" si="5"/>
        <v>9968.27</v>
      </c>
    </row>
    <row r="167" spans="1:12" ht="12.75" outlineLevel="1">
      <c r="A167" s="419" t="s">
        <v>1136</v>
      </c>
      <c r="C167" s="479"/>
      <c r="D167" s="457" t="s">
        <v>1137</v>
      </c>
      <c r="E167" s="480" t="str">
        <f t="shared" si="4"/>
        <v>GANZ SCHOLARSHIP</v>
      </c>
      <c r="F167" s="465">
        <v>60270.26</v>
      </c>
      <c r="G167" s="474">
        <v>2475</v>
      </c>
      <c r="H167" s="474">
        <v>-1654.82</v>
      </c>
      <c r="I167" s="474">
        <v>9216.42</v>
      </c>
      <c r="J167" s="474">
        <v>0</v>
      </c>
      <c r="K167" s="474">
        <v>0</v>
      </c>
      <c r="L167" s="474">
        <f t="shared" si="5"/>
        <v>70306.86</v>
      </c>
    </row>
    <row r="168" spans="1:12" ht="12.75" outlineLevel="1">
      <c r="A168" s="419" t="s">
        <v>1138</v>
      </c>
      <c r="C168" s="479"/>
      <c r="D168" s="457" t="s">
        <v>1139</v>
      </c>
      <c r="E168" s="480" t="str">
        <f t="shared" si="4"/>
        <v>UMSL CHAN COUN SCHLP</v>
      </c>
      <c r="F168" s="465">
        <v>25069.34</v>
      </c>
      <c r="G168" s="474">
        <v>500</v>
      </c>
      <c r="H168" s="474">
        <v>-731.11</v>
      </c>
      <c r="I168" s="474">
        <v>3788.99</v>
      </c>
      <c r="J168" s="474">
        <v>0</v>
      </c>
      <c r="K168" s="474">
        <v>0</v>
      </c>
      <c r="L168" s="474">
        <f t="shared" si="5"/>
        <v>28627.22</v>
      </c>
    </row>
    <row r="169" spans="1:12" ht="12.75" outlineLevel="1">
      <c r="A169" s="419" t="s">
        <v>1140</v>
      </c>
      <c r="C169" s="479"/>
      <c r="D169" s="457" t="s">
        <v>1141</v>
      </c>
      <c r="E169" s="480" t="str">
        <f t="shared" si="4"/>
        <v>MARTINICH SCHOLARSHP</v>
      </c>
      <c r="F169" s="465">
        <v>9142.16</v>
      </c>
      <c r="G169" s="474">
        <v>525</v>
      </c>
      <c r="H169" s="474">
        <v>-264.88</v>
      </c>
      <c r="I169" s="474">
        <v>1386.66</v>
      </c>
      <c r="J169" s="474">
        <v>0</v>
      </c>
      <c r="K169" s="474">
        <v>0</v>
      </c>
      <c r="L169" s="474">
        <f t="shared" si="5"/>
        <v>10788.94</v>
      </c>
    </row>
    <row r="170" spans="1:12" ht="12.75" outlineLevel="1">
      <c r="A170" s="419" t="s">
        <v>1142</v>
      </c>
      <c r="C170" s="479"/>
      <c r="D170" s="457" t="s">
        <v>1143</v>
      </c>
      <c r="E170" s="480" t="str">
        <f t="shared" si="4"/>
        <v>VOGT MEMORIAL SCHLP</v>
      </c>
      <c r="F170" s="465">
        <v>4337.9</v>
      </c>
      <c r="G170" s="474">
        <v>0</v>
      </c>
      <c r="H170" s="474">
        <v>90.01</v>
      </c>
      <c r="I170" s="474">
        <v>672.86</v>
      </c>
      <c r="J170" s="474">
        <v>0</v>
      </c>
      <c r="K170" s="474">
        <v>0</v>
      </c>
      <c r="L170" s="474">
        <f t="shared" si="5"/>
        <v>5100.7699999999995</v>
      </c>
    </row>
    <row r="171" spans="1:12" ht="12.75" outlineLevel="1">
      <c r="A171" s="419" t="s">
        <v>1144</v>
      </c>
      <c r="C171" s="479"/>
      <c r="D171" s="457" t="s">
        <v>1145</v>
      </c>
      <c r="E171" s="480" t="str">
        <f t="shared" si="4"/>
        <v>ENTREP STUDIES SCHLP</v>
      </c>
      <c r="F171" s="465">
        <v>2323.76</v>
      </c>
      <c r="G171" s="474">
        <v>1000</v>
      </c>
      <c r="H171" s="474">
        <v>61.21</v>
      </c>
      <c r="I171" s="474">
        <v>428.22</v>
      </c>
      <c r="J171" s="474">
        <v>0</v>
      </c>
      <c r="K171" s="474">
        <v>0</v>
      </c>
      <c r="L171" s="474">
        <f t="shared" si="5"/>
        <v>3813.1900000000005</v>
      </c>
    </row>
    <row r="172" spans="1:12" ht="12.75" outlineLevel="1">
      <c r="A172" s="419" t="s">
        <v>1146</v>
      </c>
      <c r="C172" s="479"/>
      <c r="D172" s="457" t="s">
        <v>1147</v>
      </c>
      <c r="E172" s="480" t="str">
        <f t="shared" si="4"/>
        <v>MCAFFREY SCHOLARSHIP</v>
      </c>
      <c r="F172" s="465">
        <v>8287.73</v>
      </c>
      <c r="G172" s="474">
        <v>0</v>
      </c>
      <c r="H172" s="474">
        <v>-247.11</v>
      </c>
      <c r="I172" s="474">
        <v>1249.17</v>
      </c>
      <c r="J172" s="474">
        <v>0</v>
      </c>
      <c r="K172" s="474">
        <v>0</v>
      </c>
      <c r="L172" s="474">
        <f t="shared" si="5"/>
        <v>9289.79</v>
      </c>
    </row>
    <row r="173" spans="1:12" ht="12.75" outlineLevel="1">
      <c r="A173" s="419" t="s">
        <v>1148</v>
      </c>
      <c r="C173" s="479"/>
      <c r="D173" s="457" t="s">
        <v>1149</v>
      </c>
      <c r="E173" s="480" t="str">
        <f t="shared" si="4"/>
        <v>BARBARA ST CYR/ART FACULTY SCH</v>
      </c>
      <c r="F173" s="465">
        <v>8460.45</v>
      </c>
      <c r="G173" s="474">
        <v>0</v>
      </c>
      <c r="H173" s="474">
        <v>-248.74</v>
      </c>
      <c r="I173" s="474">
        <v>1275.92</v>
      </c>
      <c r="J173" s="474">
        <v>0</v>
      </c>
      <c r="K173" s="474">
        <v>0</v>
      </c>
      <c r="L173" s="474">
        <f t="shared" si="5"/>
        <v>9487.630000000001</v>
      </c>
    </row>
    <row r="174" spans="1:12" ht="12.75" outlineLevel="1">
      <c r="A174" s="419" t="s">
        <v>1150</v>
      </c>
      <c r="C174" s="479"/>
      <c r="D174" s="457" t="s">
        <v>1151</v>
      </c>
      <c r="E174" s="480" t="str">
        <f t="shared" si="4"/>
        <v>WOMEN IN CHEM SCHLP</v>
      </c>
      <c r="F174" s="465">
        <v>9348.24</v>
      </c>
      <c r="G174" s="474">
        <v>275</v>
      </c>
      <c r="H174" s="474">
        <v>-266.11</v>
      </c>
      <c r="I174" s="474">
        <v>1424.55</v>
      </c>
      <c r="J174" s="474">
        <v>0</v>
      </c>
      <c r="K174" s="474">
        <v>0</v>
      </c>
      <c r="L174" s="474">
        <f t="shared" si="5"/>
        <v>10781.679999999998</v>
      </c>
    </row>
    <row r="175" spans="1:12" ht="12.75" outlineLevel="1">
      <c r="A175" s="419" t="s">
        <v>1152</v>
      </c>
      <c r="C175" s="479"/>
      <c r="D175" s="457" t="s">
        <v>1153</v>
      </c>
      <c r="E175" s="480" t="str">
        <f t="shared" si="4"/>
        <v>WMN IN OPTOMETRY SCH</v>
      </c>
      <c r="F175" s="465">
        <v>7918.62</v>
      </c>
      <c r="G175" s="474">
        <v>0</v>
      </c>
      <c r="H175" s="474">
        <v>-236.11</v>
      </c>
      <c r="I175" s="474">
        <v>1193.56</v>
      </c>
      <c r="J175" s="474">
        <v>0</v>
      </c>
      <c r="K175" s="474">
        <v>0</v>
      </c>
      <c r="L175" s="474">
        <f t="shared" si="5"/>
        <v>8876.07</v>
      </c>
    </row>
    <row r="176" spans="1:12" ht="12.75" outlineLevel="1">
      <c r="A176" s="419" t="s">
        <v>1154</v>
      </c>
      <c r="C176" s="479"/>
      <c r="D176" s="457" t="s">
        <v>1155</v>
      </c>
      <c r="E176" s="480" t="str">
        <f t="shared" si="4"/>
        <v>A C INGERSOLL FELLOWSHIP</v>
      </c>
      <c r="F176" s="465">
        <v>2278.74</v>
      </c>
      <c r="G176" s="474">
        <v>4700</v>
      </c>
      <c r="H176" s="474">
        <v>74.07</v>
      </c>
      <c r="I176" s="474">
        <v>470.05</v>
      </c>
      <c r="J176" s="474">
        <v>0</v>
      </c>
      <c r="K176" s="474">
        <v>2400</v>
      </c>
      <c r="L176" s="474">
        <f t="shared" si="5"/>
        <v>9922.86</v>
      </c>
    </row>
    <row r="177" spans="1:12" ht="12.75" outlineLevel="1">
      <c r="A177" s="419" t="s">
        <v>1156</v>
      </c>
      <c r="C177" s="479"/>
      <c r="D177" s="457" t="s">
        <v>1157</v>
      </c>
      <c r="E177" s="480" t="str">
        <f t="shared" si="4"/>
        <v>SAMUDRALA SCHOLARSHIP</v>
      </c>
      <c r="F177" s="465">
        <v>12802.43</v>
      </c>
      <c r="G177" s="474">
        <v>0</v>
      </c>
      <c r="H177" s="474">
        <v>-381.74</v>
      </c>
      <c r="I177" s="474">
        <v>1929.67</v>
      </c>
      <c r="J177" s="474">
        <v>0</v>
      </c>
      <c r="K177" s="474">
        <v>0</v>
      </c>
      <c r="L177" s="474">
        <f t="shared" si="5"/>
        <v>14350.36</v>
      </c>
    </row>
    <row r="178" spans="1:12" ht="12.75" outlineLevel="1">
      <c r="A178" s="419" t="s">
        <v>1158</v>
      </c>
      <c r="C178" s="479"/>
      <c r="D178" s="457" t="s">
        <v>1159</v>
      </c>
      <c r="E178" s="480" t="str">
        <f t="shared" si="4"/>
        <v>ADK MCHUGH MEM SCHLP</v>
      </c>
      <c r="F178" s="465">
        <v>12064.68</v>
      </c>
      <c r="G178" s="474">
        <v>730.55</v>
      </c>
      <c r="H178" s="474">
        <v>-198.81</v>
      </c>
      <c r="I178" s="474">
        <v>2024.27</v>
      </c>
      <c r="J178" s="474">
        <v>0</v>
      </c>
      <c r="K178" s="474">
        <v>0</v>
      </c>
      <c r="L178" s="474">
        <f t="shared" si="5"/>
        <v>14620.69</v>
      </c>
    </row>
    <row r="179" spans="1:12" ht="12.75" outlineLevel="1">
      <c r="A179" s="419" t="s">
        <v>1160</v>
      </c>
      <c r="C179" s="479"/>
      <c r="D179" s="457" t="s">
        <v>1161</v>
      </c>
      <c r="E179" s="480" t="str">
        <f t="shared" si="4"/>
        <v>DONNA FREE SCHOLARSHIP</v>
      </c>
      <c r="F179" s="465">
        <v>4058.67</v>
      </c>
      <c r="G179" s="474">
        <v>5500</v>
      </c>
      <c r="H179" s="474">
        <v>159.91</v>
      </c>
      <c r="I179" s="474">
        <v>837.32</v>
      </c>
      <c r="J179" s="474">
        <v>0</v>
      </c>
      <c r="K179" s="474">
        <v>0</v>
      </c>
      <c r="L179" s="474">
        <f t="shared" si="5"/>
        <v>10555.9</v>
      </c>
    </row>
    <row r="180" spans="1:12" ht="12.75" outlineLevel="1">
      <c r="A180" s="419" t="s">
        <v>1162</v>
      </c>
      <c r="C180" s="479"/>
      <c r="D180" s="457" t="s">
        <v>1163</v>
      </c>
      <c r="E180" s="480" t="str">
        <f t="shared" si="4"/>
        <v>CAROL GRUEN ENDOWED SCHLP</v>
      </c>
      <c r="F180" s="465">
        <v>4466.5</v>
      </c>
      <c r="G180" s="474">
        <v>0</v>
      </c>
      <c r="H180" s="474">
        <v>89.43</v>
      </c>
      <c r="I180" s="474">
        <v>692.65</v>
      </c>
      <c r="J180" s="474">
        <v>0</v>
      </c>
      <c r="K180" s="474">
        <v>0</v>
      </c>
      <c r="L180" s="474">
        <f t="shared" si="5"/>
        <v>5248.58</v>
      </c>
    </row>
    <row r="181" spans="1:12" ht="12.75" outlineLevel="1">
      <c r="A181" s="419" t="s">
        <v>1164</v>
      </c>
      <c r="C181" s="479"/>
      <c r="D181" s="457" t="s">
        <v>1165</v>
      </c>
      <c r="E181" s="480" t="str">
        <f t="shared" si="4"/>
        <v>O'GRADY MEMORIAL SCHOLARSHIP</v>
      </c>
      <c r="F181" s="465">
        <v>8917.47</v>
      </c>
      <c r="G181" s="474">
        <v>0</v>
      </c>
      <c r="H181" s="474">
        <v>-265.88</v>
      </c>
      <c r="I181" s="474">
        <v>1344.08</v>
      </c>
      <c r="J181" s="474">
        <v>0</v>
      </c>
      <c r="K181" s="474">
        <v>0</v>
      </c>
      <c r="L181" s="474">
        <f t="shared" si="5"/>
        <v>9995.67</v>
      </c>
    </row>
    <row r="182" spans="1:12" ht="12.75" outlineLevel="1">
      <c r="A182" s="419" t="s">
        <v>1166</v>
      </c>
      <c r="C182" s="479"/>
      <c r="D182" s="457" t="s">
        <v>1167</v>
      </c>
      <c r="E182" s="480" t="str">
        <f t="shared" si="4"/>
        <v>EUGENE MEEHAN SCHOLARSHIP FUND</v>
      </c>
      <c r="F182" s="465">
        <v>348109.4</v>
      </c>
      <c r="G182" s="474">
        <v>55100</v>
      </c>
      <c r="H182" s="474">
        <v>-5239.12</v>
      </c>
      <c r="I182" s="474">
        <v>59342.56</v>
      </c>
      <c r="J182" s="474">
        <v>0</v>
      </c>
      <c r="K182" s="474">
        <v>0</v>
      </c>
      <c r="L182" s="474">
        <f t="shared" si="5"/>
        <v>457312.84</v>
      </c>
    </row>
    <row r="183" spans="1:12" ht="12.75" outlineLevel="1">
      <c r="A183" s="419" t="s">
        <v>1168</v>
      </c>
      <c r="C183" s="479"/>
      <c r="D183" s="457" t="s">
        <v>1169</v>
      </c>
      <c r="E183" s="480" t="str">
        <f t="shared" si="4"/>
        <v>TATIS/CARDINALS SCHOLARSHIP</v>
      </c>
      <c r="F183" s="465">
        <v>7734.01</v>
      </c>
      <c r="G183" s="474">
        <v>0</v>
      </c>
      <c r="H183" s="474">
        <v>-230.61</v>
      </c>
      <c r="I183" s="474">
        <v>1165.71</v>
      </c>
      <c r="J183" s="474">
        <v>0</v>
      </c>
      <c r="K183" s="474">
        <v>0</v>
      </c>
      <c r="L183" s="474">
        <f t="shared" si="5"/>
        <v>8669.11</v>
      </c>
    </row>
    <row r="184" spans="1:12" ht="12.75" outlineLevel="1">
      <c r="A184" s="419" t="s">
        <v>1170</v>
      </c>
      <c r="C184" s="479"/>
      <c r="D184" s="457" t="s">
        <v>1171</v>
      </c>
      <c r="E184" s="480" t="str">
        <f t="shared" si="4"/>
        <v>TATINI FAMILY SCHOLARSHIP</v>
      </c>
      <c r="F184" s="465">
        <v>7734.01</v>
      </c>
      <c r="G184" s="474">
        <v>0</v>
      </c>
      <c r="H184" s="474">
        <v>-230.61</v>
      </c>
      <c r="I184" s="474">
        <v>1165.71</v>
      </c>
      <c r="J184" s="474">
        <v>0</v>
      </c>
      <c r="K184" s="474">
        <v>0</v>
      </c>
      <c r="L184" s="474">
        <f t="shared" si="5"/>
        <v>8669.11</v>
      </c>
    </row>
    <row r="185" spans="1:12" ht="12.75" outlineLevel="1">
      <c r="A185" s="419" t="s">
        <v>1172</v>
      </c>
      <c r="C185" s="479"/>
      <c r="D185" s="457" t="s">
        <v>1173</v>
      </c>
      <c r="E185" s="480" t="str">
        <f t="shared" si="4"/>
        <v>BRUNNGRABER MEMORIAL SCHLP</v>
      </c>
      <c r="F185" s="465">
        <v>8805.87</v>
      </c>
      <c r="G185" s="474">
        <v>450</v>
      </c>
      <c r="H185" s="474">
        <v>-253.08</v>
      </c>
      <c r="I185" s="474">
        <v>1324.52</v>
      </c>
      <c r="J185" s="474">
        <v>0</v>
      </c>
      <c r="K185" s="474">
        <v>0</v>
      </c>
      <c r="L185" s="474">
        <f t="shared" si="5"/>
        <v>10327.310000000001</v>
      </c>
    </row>
    <row r="186" spans="1:12" ht="12.75" outlineLevel="1">
      <c r="A186" s="419" t="s">
        <v>1174</v>
      </c>
      <c r="C186" s="479"/>
      <c r="D186" s="457" t="s">
        <v>1175</v>
      </c>
      <c r="E186" s="480" t="str">
        <f t="shared" si="4"/>
        <v>RUTH BRYANT BANKING HISTORY FD</v>
      </c>
      <c r="F186" s="465">
        <v>26413.41</v>
      </c>
      <c r="G186" s="474">
        <v>0</v>
      </c>
      <c r="H186" s="474">
        <v>-787.6</v>
      </c>
      <c r="I186" s="474">
        <v>3981.21</v>
      </c>
      <c r="J186" s="474">
        <v>0</v>
      </c>
      <c r="K186" s="474">
        <v>0</v>
      </c>
      <c r="L186" s="474">
        <f t="shared" si="5"/>
        <v>29607.02</v>
      </c>
    </row>
    <row r="187" spans="1:12" ht="12.75" outlineLevel="1">
      <c r="A187" s="419" t="s">
        <v>1176</v>
      </c>
      <c r="C187" s="479"/>
      <c r="D187" s="457" t="s">
        <v>1177</v>
      </c>
      <c r="E187" s="480" t="str">
        <f t="shared" si="4"/>
        <v>KATHLEEN OSBORN ALUMNI SCHLP</v>
      </c>
      <c r="F187" s="465">
        <v>20060.7</v>
      </c>
      <c r="G187" s="474">
        <v>0</v>
      </c>
      <c r="H187" s="474">
        <v>-598.17</v>
      </c>
      <c r="I187" s="474">
        <v>3023.71</v>
      </c>
      <c r="J187" s="474">
        <v>0</v>
      </c>
      <c r="K187" s="474">
        <v>0</v>
      </c>
      <c r="L187" s="474">
        <f t="shared" si="5"/>
        <v>22486.24</v>
      </c>
    </row>
    <row r="188" spans="1:12" ht="12.75" outlineLevel="1">
      <c r="A188" s="419" t="s">
        <v>1178</v>
      </c>
      <c r="C188" s="479"/>
      <c r="D188" s="457" t="s">
        <v>1179</v>
      </c>
      <c r="E188" s="480" t="str">
        <f t="shared" si="4"/>
        <v>ELLIOTT BUSINESS SCHOLARSHIP</v>
      </c>
      <c r="F188" s="465">
        <v>25366.82</v>
      </c>
      <c r="G188" s="474">
        <v>0</v>
      </c>
      <c r="H188" s="474">
        <v>-756.38</v>
      </c>
      <c r="I188" s="474">
        <v>3823.47</v>
      </c>
      <c r="J188" s="474">
        <v>0</v>
      </c>
      <c r="K188" s="474">
        <v>0</v>
      </c>
      <c r="L188" s="474">
        <f t="shared" si="5"/>
        <v>28433.91</v>
      </c>
    </row>
    <row r="189" spans="1:12" ht="12.75" outlineLevel="1">
      <c r="A189" s="419" t="s">
        <v>1180</v>
      </c>
      <c r="C189" s="479"/>
      <c r="D189" s="457" t="s">
        <v>1181</v>
      </c>
      <c r="E189" s="480" t="str">
        <f t="shared" si="4"/>
        <v>DAKOTA-ANGIE BEHLMANN MEML SCH</v>
      </c>
      <c r="F189" s="465">
        <v>12525.3</v>
      </c>
      <c r="G189" s="474">
        <v>60</v>
      </c>
      <c r="H189" s="474">
        <v>-368.92</v>
      </c>
      <c r="I189" s="474">
        <v>1902.19</v>
      </c>
      <c r="J189" s="474">
        <v>0</v>
      </c>
      <c r="K189" s="474">
        <v>0</v>
      </c>
      <c r="L189" s="474">
        <f t="shared" si="5"/>
        <v>14118.57</v>
      </c>
    </row>
    <row r="190" spans="1:12" ht="12.75" outlineLevel="1">
      <c r="A190" s="419" t="s">
        <v>1182</v>
      </c>
      <c r="C190" s="479"/>
      <c r="D190" s="457" t="s">
        <v>1183</v>
      </c>
      <c r="E190" s="480" t="str">
        <f t="shared" si="4"/>
        <v>M THOMAS JONES MEMORIAL FUND</v>
      </c>
      <c r="F190" s="465">
        <v>20973.51</v>
      </c>
      <c r="G190" s="474">
        <v>5200</v>
      </c>
      <c r="H190" s="474">
        <v>-420.93</v>
      </c>
      <c r="I190" s="474">
        <v>3436.21</v>
      </c>
      <c r="J190" s="474">
        <v>0</v>
      </c>
      <c r="K190" s="474">
        <v>0</v>
      </c>
      <c r="L190" s="474">
        <f t="shared" si="5"/>
        <v>29188.789999999997</v>
      </c>
    </row>
    <row r="191" spans="1:12" ht="12.75" outlineLevel="1">
      <c r="A191" s="419" t="s">
        <v>1184</v>
      </c>
      <c r="C191" s="479"/>
      <c r="D191" s="457" t="s">
        <v>1185</v>
      </c>
      <c r="E191" s="480" t="str">
        <f t="shared" si="4"/>
        <v>M LEE PROF ONCOLOGY NURSING</v>
      </c>
      <c r="F191" s="465">
        <v>137020.77</v>
      </c>
      <c r="G191" s="474">
        <v>0</v>
      </c>
      <c r="H191" s="474">
        <v>-4085.66</v>
      </c>
      <c r="I191" s="474">
        <v>20652.65</v>
      </c>
      <c r="J191" s="474">
        <v>0</v>
      </c>
      <c r="K191" s="474">
        <v>0</v>
      </c>
      <c r="L191" s="474">
        <f t="shared" si="5"/>
        <v>153587.75999999998</v>
      </c>
    </row>
    <row r="192" spans="1:13" ht="12.75" outlineLevel="1">
      <c r="A192" s="419" t="s">
        <v>1186</v>
      </c>
      <c r="C192" s="479"/>
      <c r="D192" s="457" t="s">
        <v>1187</v>
      </c>
      <c r="E192" s="445" t="str">
        <f t="shared" si="4"/>
        <v>CRESSWELL MAP AND PRINT FUND</v>
      </c>
      <c r="F192" s="473">
        <v>989.28</v>
      </c>
      <c r="G192" s="474">
        <v>0</v>
      </c>
      <c r="H192" s="474">
        <v>20.53</v>
      </c>
      <c r="I192" s="474">
        <v>152.76</v>
      </c>
      <c r="J192" s="474">
        <v>0</v>
      </c>
      <c r="K192" s="474">
        <v>0</v>
      </c>
      <c r="L192" s="474">
        <f t="shared" si="5"/>
        <v>1162.57</v>
      </c>
      <c r="M192" s="479"/>
    </row>
    <row r="193" spans="1:13" ht="12.75" outlineLevel="1">
      <c r="A193" s="419" t="s">
        <v>1188</v>
      </c>
      <c r="D193" s="457" t="s">
        <v>1189</v>
      </c>
      <c r="E193" s="445" t="str">
        <f t="shared" si="4"/>
        <v>JACK W BENNETT SCHOLARSHIP</v>
      </c>
      <c r="F193" s="473">
        <v>13908.43</v>
      </c>
      <c r="G193" s="474">
        <v>0</v>
      </c>
      <c r="H193" s="474">
        <v>-410.25</v>
      </c>
      <c r="I193" s="474">
        <v>2096.33</v>
      </c>
      <c r="J193" s="474">
        <v>0</v>
      </c>
      <c r="K193" s="474">
        <v>0</v>
      </c>
      <c r="L193" s="474">
        <f t="shared" si="5"/>
        <v>15594.51</v>
      </c>
      <c r="M193" s="457"/>
    </row>
    <row r="194" spans="1:14" s="519" customFormat="1" ht="12.75" outlineLevel="1">
      <c r="A194" s="519" t="s">
        <v>1190</v>
      </c>
      <c r="B194" s="520"/>
      <c r="C194" s="479"/>
      <c r="D194" s="479" t="s">
        <v>1191</v>
      </c>
      <c r="E194" s="524" t="str">
        <f t="shared" si="4"/>
        <v>AAR SCHOLARSHIP</v>
      </c>
      <c r="F194" s="526">
        <v>10025.29</v>
      </c>
      <c r="G194" s="523">
        <v>0</v>
      </c>
      <c r="H194" s="523">
        <v>-298.59</v>
      </c>
      <c r="I194" s="523">
        <v>1512.52</v>
      </c>
      <c r="J194" s="523">
        <v>0</v>
      </c>
      <c r="K194" s="523">
        <v>0</v>
      </c>
      <c r="L194" s="523">
        <f t="shared" si="5"/>
        <v>11239.220000000001</v>
      </c>
      <c r="M194" s="479"/>
      <c r="N194" s="524"/>
    </row>
    <row r="195" spans="1:14" s="519" customFormat="1" ht="12.75" outlineLevel="1">
      <c r="A195" s="519" t="s">
        <v>1192</v>
      </c>
      <c r="B195" s="520"/>
      <c r="C195" s="479"/>
      <c r="D195" s="479" t="s">
        <v>1193</v>
      </c>
      <c r="E195" s="521" t="str">
        <f t="shared" si="4"/>
        <v>CHRISTENSEN FUND FELLOWSHIPS</v>
      </c>
      <c r="F195" s="522">
        <v>1866003.13</v>
      </c>
      <c r="G195" s="523">
        <v>0</v>
      </c>
      <c r="H195" s="523">
        <v>-55640.03</v>
      </c>
      <c r="I195" s="523">
        <v>281256.35</v>
      </c>
      <c r="J195" s="523">
        <v>0</v>
      </c>
      <c r="K195" s="523">
        <v>0</v>
      </c>
      <c r="L195" s="523">
        <f t="shared" si="5"/>
        <v>2091619.4499999997</v>
      </c>
      <c r="M195" s="481"/>
      <c r="N195" s="524"/>
    </row>
    <row r="196" spans="1:12" ht="12.75" outlineLevel="1">
      <c r="A196" s="419" t="s">
        <v>1194</v>
      </c>
      <c r="C196" s="479"/>
      <c r="D196" s="457" t="s">
        <v>1195</v>
      </c>
      <c r="E196" s="480" t="str">
        <f t="shared" si="4"/>
        <v>INST FOR WOMENS GENDER STUDIES</v>
      </c>
      <c r="F196" s="465">
        <v>34675.68</v>
      </c>
      <c r="G196" s="474">
        <v>-7045</v>
      </c>
      <c r="H196" s="474">
        <v>-1003.33</v>
      </c>
      <c r="I196" s="474">
        <v>4174.6</v>
      </c>
      <c r="J196" s="474">
        <v>0</v>
      </c>
      <c r="K196" s="474">
        <v>0</v>
      </c>
      <c r="L196" s="474">
        <f t="shared" si="5"/>
        <v>30801.949999999997</v>
      </c>
    </row>
    <row r="197" spans="1:12" ht="12.75" outlineLevel="1">
      <c r="A197" s="419" t="s">
        <v>1196</v>
      </c>
      <c r="C197" s="479"/>
      <c r="D197" s="457" t="s">
        <v>1197</v>
      </c>
      <c r="E197" s="480" t="str">
        <f t="shared" si="4"/>
        <v>A-B EXCELLENCE IN TEACHING AWD</v>
      </c>
      <c r="F197" s="465">
        <v>9222.98</v>
      </c>
      <c r="G197" s="474">
        <v>0</v>
      </c>
      <c r="H197" s="474">
        <v>-274.93</v>
      </c>
      <c r="I197" s="474">
        <v>1390.74</v>
      </c>
      <c r="J197" s="474">
        <v>0</v>
      </c>
      <c r="K197" s="474">
        <v>0</v>
      </c>
      <c r="L197" s="474">
        <f t="shared" si="5"/>
        <v>10338.789999999999</v>
      </c>
    </row>
    <row r="198" spans="1:12" ht="12.75" outlineLevel="1">
      <c r="A198" s="419" t="s">
        <v>1198</v>
      </c>
      <c r="C198" s="479"/>
      <c r="D198" s="457" t="s">
        <v>1199</v>
      </c>
      <c r="E198" s="480" t="str">
        <f t="shared" si="4"/>
        <v>TAO SCHOLARSHIP</v>
      </c>
      <c r="F198" s="465">
        <v>4044.98</v>
      </c>
      <c r="G198" s="474">
        <v>0</v>
      </c>
      <c r="H198" s="474">
        <v>83.81</v>
      </c>
      <c r="I198" s="474">
        <v>632.36</v>
      </c>
      <c r="J198" s="474">
        <v>0</v>
      </c>
      <c r="K198" s="474">
        <v>0</v>
      </c>
      <c r="L198" s="474">
        <f t="shared" si="5"/>
        <v>4761.15</v>
      </c>
    </row>
    <row r="199" spans="1:12" ht="12.75" outlineLevel="1">
      <c r="A199" s="419" t="s">
        <v>1200</v>
      </c>
      <c r="C199" s="479"/>
      <c r="D199" s="457" t="s">
        <v>1201</v>
      </c>
      <c r="E199" s="480" t="str">
        <f t="shared" si="4"/>
        <v>ELIZABETH DUNLAP BOOK FUND</v>
      </c>
      <c r="F199" s="465">
        <v>15616.91</v>
      </c>
      <c r="G199" s="474">
        <v>0</v>
      </c>
      <c r="H199" s="474">
        <v>-465.67</v>
      </c>
      <c r="I199" s="474">
        <v>2353.86</v>
      </c>
      <c r="J199" s="474">
        <v>0</v>
      </c>
      <c r="K199" s="474">
        <v>0</v>
      </c>
      <c r="L199" s="474">
        <f t="shared" si="5"/>
        <v>17505.1</v>
      </c>
    </row>
    <row r="200" spans="1:12" ht="12.75" outlineLevel="1">
      <c r="A200" s="419" t="s">
        <v>1202</v>
      </c>
      <c r="C200" s="479"/>
      <c r="D200" s="457" t="s">
        <v>1203</v>
      </c>
      <c r="E200" s="480" t="str">
        <f t="shared" si="4"/>
        <v>FRANTZEN ENDOWED SCHOLARSHIP</v>
      </c>
      <c r="F200" s="465">
        <v>21380.85</v>
      </c>
      <c r="G200" s="474">
        <v>1525</v>
      </c>
      <c r="H200" s="474">
        <v>-117.3</v>
      </c>
      <c r="I200" s="474">
        <v>3544.36</v>
      </c>
      <c r="J200" s="474">
        <v>0</v>
      </c>
      <c r="K200" s="474">
        <v>0</v>
      </c>
      <c r="L200" s="474">
        <f t="shared" si="5"/>
        <v>26332.91</v>
      </c>
    </row>
    <row r="201" spans="1:12" ht="12.75" outlineLevel="1">
      <c r="A201" s="419" t="s">
        <v>1204</v>
      </c>
      <c r="C201" s="479"/>
      <c r="D201" s="457" t="s">
        <v>1205</v>
      </c>
      <c r="E201" s="480" t="str">
        <f aca="true" t="shared" si="6" ref="E201:E239">UPPER(D201)</f>
        <v>POLITICAL SCIENCE ENDOWED SCHL</v>
      </c>
      <c r="F201" s="465">
        <v>10820.96</v>
      </c>
      <c r="G201" s="474">
        <v>385</v>
      </c>
      <c r="H201" s="474">
        <v>229.63</v>
      </c>
      <c r="I201" s="474">
        <v>1673.54</v>
      </c>
      <c r="J201" s="474">
        <v>0</v>
      </c>
      <c r="K201" s="474">
        <v>0</v>
      </c>
      <c r="L201" s="474">
        <f t="shared" si="5"/>
        <v>13109.129999999997</v>
      </c>
    </row>
    <row r="202" spans="1:12" ht="12.75" outlineLevel="1">
      <c r="A202" s="419" t="s">
        <v>1206</v>
      </c>
      <c r="C202" s="479"/>
      <c r="D202" s="457" t="s">
        <v>1207</v>
      </c>
      <c r="E202" s="480" t="str">
        <f t="shared" si="6"/>
        <v>BRIDGE SCHOLARSHIPS/FELLOWSHIP</v>
      </c>
      <c r="F202" s="465">
        <v>64755.07</v>
      </c>
      <c r="G202" s="474">
        <v>0</v>
      </c>
      <c r="H202" s="474">
        <v>-1927.33</v>
      </c>
      <c r="I202" s="474">
        <v>9791.5</v>
      </c>
      <c r="J202" s="474">
        <v>0</v>
      </c>
      <c r="K202" s="474">
        <v>0</v>
      </c>
      <c r="L202" s="474">
        <f aca="true" t="shared" si="7" ref="L202:L239">F202+G202+H202+I202-J202+K202</f>
        <v>72619.23999999999</v>
      </c>
    </row>
    <row r="203" spans="1:12" ht="12.75" outlineLevel="1">
      <c r="A203" s="419" t="s">
        <v>1208</v>
      </c>
      <c r="C203" s="479"/>
      <c r="D203" s="457" t="s">
        <v>1209</v>
      </c>
      <c r="E203" s="480" t="str">
        <f t="shared" si="6"/>
        <v>ANDALAFTE MEMORIAL SCHOLARSHIP</v>
      </c>
      <c r="F203" s="465">
        <v>10602.98</v>
      </c>
      <c r="G203" s="474">
        <v>125</v>
      </c>
      <c r="H203" s="474">
        <v>220.62</v>
      </c>
      <c r="I203" s="474">
        <v>1628.32</v>
      </c>
      <c r="J203" s="474">
        <v>0</v>
      </c>
      <c r="K203" s="474">
        <v>0</v>
      </c>
      <c r="L203" s="474">
        <f t="shared" si="7"/>
        <v>12576.92</v>
      </c>
    </row>
    <row r="204" spans="1:12" ht="12.75" outlineLevel="1">
      <c r="A204" s="419" t="s">
        <v>1210</v>
      </c>
      <c r="C204" s="479"/>
      <c r="D204" s="457" t="s">
        <v>1211</v>
      </c>
      <c r="E204" s="480" t="str">
        <f t="shared" si="6"/>
        <v>WALTERS NURSING SCHOLARSHIP</v>
      </c>
      <c r="F204" s="465">
        <v>15499.18</v>
      </c>
      <c r="G204" s="474">
        <v>1000</v>
      </c>
      <c r="H204" s="474">
        <v>328.95</v>
      </c>
      <c r="I204" s="474">
        <v>2364.99</v>
      </c>
      <c r="J204" s="474">
        <v>0</v>
      </c>
      <c r="K204" s="474">
        <v>0</v>
      </c>
      <c r="L204" s="474">
        <f t="shared" si="7"/>
        <v>19193.120000000003</v>
      </c>
    </row>
    <row r="205" spans="1:12" ht="12.75" outlineLevel="1">
      <c r="A205" s="419" t="s">
        <v>1212</v>
      </c>
      <c r="C205" s="479"/>
      <c r="D205" s="457" t="s">
        <v>1213</v>
      </c>
      <c r="E205" s="480" t="str">
        <f t="shared" si="6"/>
        <v>WALTERS SCIENCE EDUCATOR SCHLP</v>
      </c>
      <c r="F205" s="465">
        <v>15817.08</v>
      </c>
      <c r="G205" s="474">
        <v>1000</v>
      </c>
      <c r="H205" s="474">
        <v>353.5</v>
      </c>
      <c r="I205" s="474">
        <v>3488.89</v>
      </c>
      <c r="J205" s="474">
        <v>0</v>
      </c>
      <c r="K205" s="474">
        <v>0</v>
      </c>
      <c r="L205" s="474">
        <f t="shared" si="7"/>
        <v>20659.47</v>
      </c>
    </row>
    <row r="206" spans="1:12" ht="12.75" outlineLevel="1">
      <c r="A206" s="419" t="s">
        <v>1214</v>
      </c>
      <c r="C206" s="479"/>
      <c r="D206" s="457" t="s">
        <v>1215</v>
      </c>
      <c r="E206" s="480" t="str">
        <f t="shared" si="6"/>
        <v>MARGARET OBERNUEFEMANN FUND</v>
      </c>
      <c r="F206" s="465">
        <v>14603.16</v>
      </c>
      <c r="G206" s="474">
        <v>0</v>
      </c>
      <c r="H206" s="474">
        <v>300.22</v>
      </c>
      <c r="I206" s="474">
        <v>2170.34</v>
      </c>
      <c r="J206" s="474">
        <v>0</v>
      </c>
      <c r="K206" s="474">
        <v>0</v>
      </c>
      <c r="L206" s="474">
        <f t="shared" si="7"/>
        <v>17073.72</v>
      </c>
    </row>
    <row r="207" spans="1:12" ht="12.75" outlineLevel="1">
      <c r="A207" s="419" t="s">
        <v>1216</v>
      </c>
      <c r="C207" s="479"/>
      <c r="D207" s="457" t="s">
        <v>1217</v>
      </c>
      <c r="E207" s="480" t="str">
        <f t="shared" si="6"/>
        <v>KEY WORKFORCE SCHOLARSHIP</v>
      </c>
      <c r="F207" s="465">
        <v>35697.52</v>
      </c>
      <c r="G207" s="474">
        <v>0</v>
      </c>
      <c r="H207" s="474">
        <v>-567.01</v>
      </c>
      <c r="I207" s="474">
        <v>8526.34</v>
      </c>
      <c r="J207" s="474">
        <v>0</v>
      </c>
      <c r="K207" s="474">
        <v>0</v>
      </c>
      <c r="L207" s="474">
        <f t="shared" si="7"/>
        <v>43656.84999999999</v>
      </c>
    </row>
    <row r="208" spans="1:12" ht="12.75" outlineLevel="1">
      <c r="A208" s="419" t="s">
        <v>1218</v>
      </c>
      <c r="C208" s="479"/>
      <c r="D208" s="457" t="s">
        <v>1219</v>
      </c>
      <c r="E208" s="480" t="str">
        <f t="shared" si="6"/>
        <v>GRAD RSRCH ACCOMP PRIZE CHEM</v>
      </c>
      <c r="F208" s="465">
        <v>12835.43</v>
      </c>
      <c r="G208" s="474">
        <v>0</v>
      </c>
      <c r="H208" s="474">
        <v>-239.28</v>
      </c>
      <c r="I208" s="474">
        <v>3233.03</v>
      </c>
      <c r="J208" s="474">
        <v>0</v>
      </c>
      <c r="K208" s="474">
        <v>0</v>
      </c>
      <c r="L208" s="474">
        <f t="shared" si="7"/>
        <v>15829.18</v>
      </c>
    </row>
    <row r="209" spans="1:12" ht="12.75" outlineLevel="1">
      <c r="A209" s="419" t="s">
        <v>1220</v>
      </c>
      <c r="C209" s="479"/>
      <c r="D209" s="457" t="s">
        <v>1221</v>
      </c>
      <c r="E209" s="480" t="str">
        <f t="shared" si="6"/>
        <v>UP RAILROAD ACQUISITION FUND</v>
      </c>
      <c r="F209" s="465">
        <v>10696.19</v>
      </c>
      <c r="G209" s="474">
        <v>12500</v>
      </c>
      <c r="H209" s="474">
        <v>-9.96</v>
      </c>
      <c r="I209" s="474">
        <v>3368.65</v>
      </c>
      <c r="J209" s="474">
        <v>0</v>
      </c>
      <c r="K209" s="474">
        <v>0</v>
      </c>
      <c r="L209" s="474">
        <f t="shared" si="7"/>
        <v>26554.880000000005</v>
      </c>
    </row>
    <row r="210" spans="1:12" ht="12.75" outlineLevel="1">
      <c r="A210" s="419" t="s">
        <v>1222</v>
      </c>
      <c r="C210" s="479"/>
      <c r="D210" s="457" t="s">
        <v>1223</v>
      </c>
      <c r="E210" s="480" t="str">
        <f t="shared" si="6"/>
        <v>ICTE ENDOWED FUND</v>
      </c>
      <c r="F210" s="465">
        <v>10601.3</v>
      </c>
      <c r="G210" s="474">
        <v>0</v>
      </c>
      <c r="H210" s="474">
        <v>119.29</v>
      </c>
      <c r="I210" s="474">
        <v>1084.5</v>
      </c>
      <c r="J210" s="474">
        <v>0</v>
      </c>
      <c r="K210" s="474">
        <v>0</v>
      </c>
      <c r="L210" s="474">
        <f t="shared" si="7"/>
        <v>11805.09</v>
      </c>
    </row>
    <row r="211" spans="1:12" ht="12.75" outlineLevel="1">
      <c r="A211" s="419" t="s">
        <v>1224</v>
      </c>
      <c r="C211" s="479"/>
      <c r="D211" s="457" t="s">
        <v>1225</v>
      </c>
      <c r="E211" s="480" t="str">
        <f t="shared" si="6"/>
        <v>SHOPMAKER PROF SPRNGBRD LRNG</v>
      </c>
      <c r="F211" s="465">
        <v>583805.01</v>
      </c>
      <c r="G211" s="474">
        <v>0</v>
      </c>
      <c r="H211" s="474">
        <v>-6050.64</v>
      </c>
      <c r="I211" s="474">
        <v>114013.36</v>
      </c>
      <c r="J211" s="474">
        <v>0</v>
      </c>
      <c r="K211" s="474">
        <v>0</v>
      </c>
      <c r="L211" s="474">
        <f t="shared" si="7"/>
        <v>691767.73</v>
      </c>
    </row>
    <row r="212" spans="1:12" ht="12.75" outlineLevel="1">
      <c r="A212" s="419" t="s">
        <v>1226</v>
      </c>
      <c r="C212" s="479"/>
      <c r="D212" s="457" t="s">
        <v>1227</v>
      </c>
      <c r="E212" s="480" t="str">
        <f t="shared" si="6"/>
        <v>KENT ENDOWED SCHOLARSHIP</v>
      </c>
      <c r="F212" s="465">
        <v>10721.67</v>
      </c>
      <c r="G212" s="474">
        <v>0</v>
      </c>
      <c r="H212" s="474">
        <v>-92.19</v>
      </c>
      <c r="I212" s="474">
        <v>1725.8</v>
      </c>
      <c r="J212" s="474">
        <v>0</v>
      </c>
      <c r="K212" s="474">
        <v>0</v>
      </c>
      <c r="L212" s="474">
        <f t="shared" si="7"/>
        <v>12355.279999999999</v>
      </c>
    </row>
    <row r="213" spans="1:12" ht="12.75" outlineLevel="1">
      <c r="A213" s="419" t="s">
        <v>1228</v>
      </c>
      <c r="C213" s="479"/>
      <c r="D213" s="457" t="s">
        <v>1229</v>
      </c>
      <c r="E213" s="480" t="str">
        <f t="shared" si="6"/>
        <v>GITNER EXCEL IN TEACHING AWARD</v>
      </c>
      <c r="F213" s="465">
        <v>11605.91</v>
      </c>
      <c r="G213" s="474">
        <v>0</v>
      </c>
      <c r="H213" s="474">
        <v>-54.98</v>
      </c>
      <c r="I213" s="474">
        <v>2160.84</v>
      </c>
      <c r="J213" s="474">
        <v>0</v>
      </c>
      <c r="K213" s="474">
        <v>0</v>
      </c>
      <c r="L213" s="474">
        <f t="shared" si="7"/>
        <v>13711.77</v>
      </c>
    </row>
    <row r="214" spans="1:12" ht="12.75" outlineLevel="1">
      <c r="A214" s="419" t="s">
        <v>1230</v>
      </c>
      <c r="C214" s="479"/>
      <c r="D214" s="457" t="s">
        <v>1231</v>
      </c>
      <c r="E214" s="480" t="str">
        <f t="shared" si="6"/>
        <v>VICTOR HAUCK SCHLP FD SOC WORK</v>
      </c>
      <c r="F214" s="465">
        <v>11300.52</v>
      </c>
      <c r="G214" s="474">
        <v>100</v>
      </c>
      <c r="H214" s="474">
        <v>162.85</v>
      </c>
      <c r="I214" s="474">
        <v>1731.16</v>
      </c>
      <c r="J214" s="474">
        <v>0</v>
      </c>
      <c r="K214" s="474">
        <v>0</v>
      </c>
      <c r="L214" s="474">
        <f t="shared" si="7"/>
        <v>13294.53</v>
      </c>
    </row>
    <row r="215" spans="1:12" ht="12.75" outlineLevel="1">
      <c r="A215" s="419" t="s">
        <v>1232</v>
      </c>
      <c r="C215" s="479"/>
      <c r="D215" s="457" t="s">
        <v>1233</v>
      </c>
      <c r="E215" s="480" t="str">
        <f t="shared" si="6"/>
        <v>ARTHUR SHAFFER MEML SCHLP FUND</v>
      </c>
      <c r="F215" s="465">
        <v>10785.65</v>
      </c>
      <c r="G215" s="474">
        <v>1440</v>
      </c>
      <c r="H215" s="474">
        <v>11.12</v>
      </c>
      <c r="I215" s="474">
        <v>2291.64</v>
      </c>
      <c r="J215" s="474">
        <v>0</v>
      </c>
      <c r="K215" s="474">
        <v>0</v>
      </c>
      <c r="L215" s="474">
        <f t="shared" si="7"/>
        <v>14528.41</v>
      </c>
    </row>
    <row r="216" spans="1:12" ht="12.75" outlineLevel="1">
      <c r="A216" s="419" t="s">
        <v>1234</v>
      </c>
      <c r="C216" s="479"/>
      <c r="D216" s="457" t="s">
        <v>1235</v>
      </c>
      <c r="E216" s="480" t="str">
        <f t="shared" si="6"/>
        <v>TOUHILL ENDOW PERFORM ARTS CTR</v>
      </c>
      <c r="F216" s="465">
        <v>116844.21</v>
      </c>
      <c r="G216" s="474">
        <v>28275</v>
      </c>
      <c r="H216" s="474">
        <v>6365.22</v>
      </c>
      <c r="I216" s="474">
        <v>31752.09</v>
      </c>
      <c r="J216" s="474">
        <v>0</v>
      </c>
      <c r="K216" s="474">
        <v>322097.02</v>
      </c>
      <c r="L216" s="474">
        <f t="shared" si="7"/>
        <v>505333.54000000004</v>
      </c>
    </row>
    <row r="217" spans="1:12" ht="12.75" outlineLevel="1">
      <c r="A217" s="419" t="s">
        <v>1236</v>
      </c>
      <c r="C217" s="479"/>
      <c r="D217" s="457" t="s">
        <v>1237</v>
      </c>
      <c r="E217" s="480" t="str">
        <f t="shared" si="6"/>
        <v>MAY CO FND ACDMC PRGM COLLECT</v>
      </c>
      <c r="F217" s="465">
        <v>5094.65</v>
      </c>
      <c r="G217" s="474">
        <v>0</v>
      </c>
      <c r="H217" s="474">
        <v>81.78</v>
      </c>
      <c r="I217" s="474">
        <v>771.39</v>
      </c>
      <c r="J217" s="474">
        <v>0</v>
      </c>
      <c r="K217" s="474">
        <v>0</v>
      </c>
      <c r="L217" s="474">
        <f t="shared" si="7"/>
        <v>5947.82</v>
      </c>
    </row>
    <row r="218" spans="1:12" ht="12.75" outlineLevel="1">
      <c r="A218" s="419" t="s">
        <v>1238</v>
      </c>
      <c r="C218" s="479"/>
      <c r="D218" s="457" t="s">
        <v>1239</v>
      </c>
      <c r="E218" s="480" t="str">
        <f t="shared" si="6"/>
        <v>EDWARD ANDALAFTE MATH FUND</v>
      </c>
      <c r="F218" s="465">
        <v>0</v>
      </c>
      <c r="G218" s="474">
        <v>0</v>
      </c>
      <c r="H218" s="474">
        <v>2349.65</v>
      </c>
      <c r="I218" s="474">
        <v>-2539.48</v>
      </c>
      <c r="J218" s="474">
        <v>0</v>
      </c>
      <c r="K218" s="474">
        <v>297629.95</v>
      </c>
      <c r="L218" s="474">
        <f t="shared" si="7"/>
        <v>297440.12</v>
      </c>
    </row>
    <row r="219" spans="1:12" ht="12.75" outlineLevel="1">
      <c r="A219" s="419" t="s">
        <v>1240</v>
      </c>
      <c r="C219" s="479"/>
      <c r="D219" s="457" t="s">
        <v>1241</v>
      </c>
      <c r="E219" s="480" t="str">
        <f t="shared" si="6"/>
        <v>CN ENDOWED ACQUISITIONS FUND</v>
      </c>
      <c r="F219" s="465">
        <v>0</v>
      </c>
      <c r="G219" s="474">
        <v>20000</v>
      </c>
      <c r="H219" s="474">
        <v>557.29</v>
      </c>
      <c r="I219" s="474">
        <v>1092.65</v>
      </c>
      <c r="J219" s="474">
        <v>0</v>
      </c>
      <c r="K219" s="474">
        <v>0</v>
      </c>
      <c r="L219" s="474">
        <f t="shared" si="7"/>
        <v>21649.940000000002</v>
      </c>
    </row>
    <row r="220" spans="1:12" ht="12.75" outlineLevel="1">
      <c r="A220" s="419" t="s">
        <v>1242</v>
      </c>
      <c r="C220" s="479"/>
      <c r="D220" s="457" t="s">
        <v>1243</v>
      </c>
      <c r="E220" s="480" t="str">
        <f t="shared" si="6"/>
        <v>JAMES V SWIFT - POTT LIBRARY</v>
      </c>
      <c r="F220" s="465">
        <v>0</v>
      </c>
      <c r="G220" s="474">
        <v>618835.85</v>
      </c>
      <c r="H220" s="474">
        <v>13330.22</v>
      </c>
      <c r="I220" s="474">
        <v>22528.05</v>
      </c>
      <c r="J220" s="474">
        <v>0</v>
      </c>
      <c r="K220" s="474">
        <v>0</v>
      </c>
      <c r="L220" s="474">
        <f t="shared" si="7"/>
        <v>654694.12</v>
      </c>
    </row>
    <row r="221" spans="1:12" ht="12.75" outlineLevel="1">
      <c r="A221" s="419" t="s">
        <v>1244</v>
      </c>
      <c r="C221" s="479"/>
      <c r="D221" s="457" t="s">
        <v>1245</v>
      </c>
      <c r="E221" s="480" t="str">
        <f t="shared" si="6"/>
        <v>DAGEN FUND - TO SUPPORT KWMU</v>
      </c>
      <c r="F221" s="465">
        <v>0</v>
      </c>
      <c r="G221" s="474">
        <v>271267.01</v>
      </c>
      <c r="H221" s="474">
        <v>7311.83</v>
      </c>
      <c r="I221" s="474">
        <v>14174.73</v>
      </c>
      <c r="J221" s="474">
        <v>0</v>
      </c>
      <c r="K221" s="474">
        <v>0</v>
      </c>
      <c r="L221" s="474">
        <f t="shared" si="7"/>
        <v>292753.57</v>
      </c>
    </row>
    <row r="222" spans="1:12" ht="12.75" outlineLevel="1">
      <c r="A222" s="419" t="s">
        <v>1246</v>
      </c>
      <c r="C222" s="479"/>
      <c r="D222" s="457" t="s">
        <v>1247</v>
      </c>
      <c r="E222" s="480" t="str">
        <f t="shared" si="6"/>
        <v>DAGEN SCHOLARSHIP</v>
      </c>
      <c r="F222" s="465">
        <v>0</v>
      </c>
      <c r="G222" s="474">
        <v>271441.49</v>
      </c>
      <c r="H222" s="474">
        <v>7312.44</v>
      </c>
      <c r="I222" s="474">
        <v>14174.73</v>
      </c>
      <c r="J222" s="474">
        <v>0</v>
      </c>
      <c r="K222" s="474">
        <v>0</v>
      </c>
      <c r="L222" s="474">
        <f t="shared" si="7"/>
        <v>292928.66</v>
      </c>
    </row>
    <row r="223" spans="1:12" ht="12.75" outlineLevel="1">
      <c r="A223" s="419" t="s">
        <v>1248</v>
      </c>
      <c r="C223" s="479"/>
      <c r="D223" s="457" t="s">
        <v>1249</v>
      </c>
      <c r="E223" s="480" t="str">
        <f t="shared" si="6"/>
        <v>MCGRATH MEMORIAL SCHOLARSHIP</v>
      </c>
      <c r="F223" s="465">
        <v>0</v>
      </c>
      <c r="G223" s="474">
        <v>0</v>
      </c>
      <c r="H223" s="474">
        <v>151.55</v>
      </c>
      <c r="I223" s="474">
        <v>539.58</v>
      </c>
      <c r="J223" s="474">
        <v>0</v>
      </c>
      <c r="K223" s="474">
        <v>10000</v>
      </c>
      <c r="L223" s="474">
        <f t="shared" si="7"/>
        <v>10691.130000000001</v>
      </c>
    </row>
    <row r="224" spans="1:12" ht="12.75" outlineLevel="1">
      <c r="A224" s="419" t="s">
        <v>1250</v>
      </c>
      <c r="C224" s="479"/>
      <c r="D224" s="457" t="s">
        <v>1251</v>
      </c>
      <c r="E224" s="480" t="str">
        <f t="shared" si="6"/>
        <v>MAYNARD FERGUSON MUSIC SCHLP</v>
      </c>
      <c r="F224" s="465">
        <v>0</v>
      </c>
      <c r="G224" s="474">
        <v>10056</v>
      </c>
      <c r="H224" s="474">
        <v>141.06</v>
      </c>
      <c r="I224" s="474">
        <v>628.15</v>
      </c>
      <c r="J224" s="474">
        <v>0</v>
      </c>
      <c r="K224" s="474">
        <v>0</v>
      </c>
      <c r="L224" s="474">
        <f t="shared" si="7"/>
        <v>10825.21</v>
      </c>
    </row>
    <row r="225" spans="1:12" ht="12.75" outlineLevel="1">
      <c r="A225" s="419" t="s">
        <v>1252</v>
      </c>
      <c r="C225" s="479"/>
      <c r="D225" s="457" t="s">
        <v>1253</v>
      </c>
      <c r="E225" s="480" t="str">
        <f t="shared" si="6"/>
        <v>ANDERSON NURSING SCHOLARSHIP</v>
      </c>
      <c r="F225" s="465">
        <v>0</v>
      </c>
      <c r="G225" s="474">
        <v>2165</v>
      </c>
      <c r="H225" s="474">
        <v>143.39</v>
      </c>
      <c r="I225" s="474">
        <v>16.71</v>
      </c>
      <c r="J225" s="474">
        <v>0</v>
      </c>
      <c r="K225" s="474">
        <v>10000</v>
      </c>
      <c r="L225" s="474">
        <f t="shared" si="7"/>
        <v>12325.1</v>
      </c>
    </row>
    <row r="226" spans="1:12" ht="12.75" outlineLevel="1">
      <c r="A226" s="419" t="s">
        <v>1254</v>
      </c>
      <c r="C226" s="479"/>
      <c r="D226" s="457" t="s">
        <v>1255</v>
      </c>
      <c r="E226" s="480" t="str">
        <f t="shared" si="6"/>
        <v>CALSYN SCHOLARSHIP</v>
      </c>
      <c r="F226" s="465">
        <v>0</v>
      </c>
      <c r="G226" s="474">
        <v>25</v>
      </c>
      <c r="H226" s="474">
        <v>102.32</v>
      </c>
      <c r="I226" s="474">
        <v>-54.03</v>
      </c>
      <c r="J226" s="474">
        <v>0</v>
      </c>
      <c r="K226" s="474">
        <v>10180.66</v>
      </c>
      <c r="L226" s="474">
        <f t="shared" si="7"/>
        <v>10253.95</v>
      </c>
    </row>
    <row r="227" spans="1:12" ht="12.75" outlineLevel="1">
      <c r="A227" s="419" t="s">
        <v>1256</v>
      </c>
      <c r="C227" s="479"/>
      <c r="D227" s="457" t="s">
        <v>1257</v>
      </c>
      <c r="E227" s="480" t="str">
        <f t="shared" si="6"/>
        <v>ADAM &amp; MCBRADY SCHOLARSHIP</v>
      </c>
      <c r="F227" s="465">
        <v>0</v>
      </c>
      <c r="G227" s="474">
        <v>5465</v>
      </c>
      <c r="H227" s="474">
        <v>68.25</v>
      </c>
      <c r="I227" s="474">
        <v>91.27</v>
      </c>
      <c r="J227" s="474">
        <v>0</v>
      </c>
      <c r="K227" s="474">
        <v>0</v>
      </c>
      <c r="L227" s="474">
        <f t="shared" si="7"/>
        <v>5624.52</v>
      </c>
    </row>
    <row r="228" spans="1:12" ht="12.75" outlineLevel="1">
      <c r="A228" s="419" t="s">
        <v>1258</v>
      </c>
      <c r="C228" s="479"/>
      <c r="D228" s="457" t="s">
        <v>1259</v>
      </c>
      <c r="E228" s="480" t="str">
        <f t="shared" si="6"/>
        <v>ALUMNI ASSOCIATION SCHOLARSHIP</v>
      </c>
      <c r="F228" s="465">
        <v>0</v>
      </c>
      <c r="G228" s="474">
        <v>9200</v>
      </c>
      <c r="H228" s="474">
        <v>82.41</v>
      </c>
      <c r="I228" s="474">
        <v>-8.830000000000013</v>
      </c>
      <c r="J228" s="474">
        <v>0</v>
      </c>
      <c r="K228" s="474">
        <v>0</v>
      </c>
      <c r="L228" s="474">
        <f t="shared" si="7"/>
        <v>9273.58</v>
      </c>
    </row>
    <row r="229" spans="1:12" ht="12.75" outlineLevel="1">
      <c r="A229" s="419" t="s">
        <v>1260</v>
      </c>
      <c r="C229" s="479"/>
      <c r="D229" s="457" t="s">
        <v>1261</v>
      </c>
      <c r="E229" s="480" t="str">
        <f t="shared" si="6"/>
        <v>BUZZ WESTFALL MEMORIAL SCHLP</v>
      </c>
      <c r="F229" s="465">
        <v>0</v>
      </c>
      <c r="G229" s="474">
        <v>7000</v>
      </c>
      <c r="H229" s="474">
        <v>70.29</v>
      </c>
      <c r="I229" s="474">
        <v>-37.15</v>
      </c>
      <c r="J229" s="474">
        <v>0</v>
      </c>
      <c r="K229" s="474">
        <v>0</v>
      </c>
      <c r="L229" s="474">
        <f t="shared" si="7"/>
        <v>7033.14</v>
      </c>
    </row>
    <row r="230" spans="1:12" ht="12.75" outlineLevel="1">
      <c r="A230" s="419" t="s">
        <v>1262</v>
      </c>
      <c r="C230" s="479"/>
      <c r="D230" s="457" t="s">
        <v>1263</v>
      </c>
      <c r="E230" s="480" t="str">
        <f t="shared" si="6"/>
        <v>WICK STRING SCHOLARSHIP</v>
      </c>
      <c r="F230" s="465">
        <v>0</v>
      </c>
      <c r="G230" s="474">
        <v>2000</v>
      </c>
      <c r="H230" s="474">
        <v>17.73</v>
      </c>
      <c r="I230" s="474">
        <v>-31.63</v>
      </c>
      <c r="J230" s="474">
        <v>0</v>
      </c>
      <c r="K230" s="474">
        <v>0</v>
      </c>
      <c r="L230" s="474">
        <f t="shared" si="7"/>
        <v>1986.1</v>
      </c>
    </row>
    <row r="231" spans="1:12" ht="12.75" outlineLevel="1">
      <c r="A231" s="419" t="s">
        <v>1264</v>
      </c>
      <c r="C231" s="479"/>
      <c r="D231" s="457" t="s">
        <v>1265</v>
      </c>
      <c r="E231" s="480" t="str">
        <f t="shared" si="6"/>
        <v>RITA SCOTT WMNS BSKTBLL SCHLP</v>
      </c>
      <c r="F231" s="465">
        <v>0</v>
      </c>
      <c r="G231" s="474">
        <v>25</v>
      </c>
      <c r="H231" s="474">
        <v>43.85</v>
      </c>
      <c r="I231" s="474">
        <v>-46.92</v>
      </c>
      <c r="J231" s="474">
        <v>0</v>
      </c>
      <c r="K231" s="474">
        <v>5537</v>
      </c>
      <c r="L231" s="474">
        <f t="shared" si="7"/>
        <v>5558.93</v>
      </c>
    </row>
    <row r="232" spans="1:12" ht="12.75" outlineLevel="1">
      <c r="A232" s="419" t="s">
        <v>1266</v>
      </c>
      <c r="C232" s="479"/>
      <c r="D232" s="457" t="s">
        <v>1267</v>
      </c>
      <c r="E232" s="480" t="str">
        <f t="shared" si="6"/>
        <v>BROCK MEMORIAL NURSING SCHLP</v>
      </c>
      <c r="F232" s="465">
        <v>0</v>
      </c>
      <c r="G232" s="474">
        <v>10000</v>
      </c>
      <c r="H232" s="474">
        <v>68.61</v>
      </c>
      <c r="I232" s="474">
        <v>182.94</v>
      </c>
      <c r="J232" s="474">
        <v>0</v>
      </c>
      <c r="K232" s="474">
        <v>0</v>
      </c>
      <c r="L232" s="474">
        <f t="shared" si="7"/>
        <v>10251.550000000001</v>
      </c>
    </row>
    <row r="233" spans="1:12" ht="12.75" outlineLevel="1">
      <c r="A233" s="419" t="s">
        <v>1268</v>
      </c>
      <c r="C233" s="479"/>
      <c r="D233" s="457" t="s">
        <v>1269</v>
      </c>
      <c r="E233" s="480" t="str">
        <f t="shared" si="6"/>
        <v>DEBORAH K BALDINI SCHOLARSHIP</v>
      </c>
      <c r="F233" s="465">
        <v>0</v>
      </c>
      <c r="G233" s="474">
        <v>2525</v>
      </c>
      <c r="H233" s="474">
        <v>26.95</v>
      </c>
      <c r="I233" s="474">
        <v>39.63</v>
      </c>
      <c r="J233" s="474">
        <v>0</v>
      </c>
      <c r="K233" s="474">
        <v>0</v>
      </c>
      <c r="L233" s="474">
        <f t="shared" si="7"/>
        <v>2591.58</v>
      </c>
    </row>
    <row r="234" spans="1:12" ht="12.75" outlineLevel="1">
      <c r="A234" s="419" t="s">
        <v>1270</v>
      </c>
      <c r="C234" s="479"/>
      <c r="D234" s="457" t="s">
        <v>1271</v>
      </c>
      <c r="E234" s="480" t="str">
        <f t="shared" si="6"/>
        <v>BOB BAUMANN PRIZE INTRNTL STDY</v>
      </c>
      <c r="F234" s="465">
        <v>0</v>
      </c>
      <c r="G234" s="474">
        <v>11700</v>
      </c>
      <c r="H234" s="474">
        <v>64.45</v>
      </c>
      <c r="I234" s="474">
        <v>150.63</v>
      </c>
      <c r="J234" s="474">
        <v>0</v>
      </c>
      <c r="K234" s="474">
        <v>0</v>
      </c>
      <c r="L234" s="474">
        <f t="shared" si="7"/>
        <v>11915.08</v>
      </c>
    </row>
    <row r="235" spans="1:12" ht="12.75" outlineLevel="1">
      <c r="A235" s="419" t="s">
        <v>1272</v>
      </c>
      <c r="C235" s="479"/>
      <c r="D235" s="457" t="s">
        <v>1273</v>
      </c>
      <c r="E235" s="480" t="str">
        <f t="shared" si="6"/>
        <v>MCKNIGHT ENDW CUR BARRIGER LIB</v>
      </c>
      <c r="F235" s="465">
        <v>0</v>
      </c>
      <c r="G235" s="474">
        <v>1000000</v>
      </c>
      <c r="H235" s="474">
        <v>5614.61</v>
      </c>
      <c r="I235" s="474">
        <v>-7479.19</v>
      </c>
      <c r="J235" s="474">
        <v>0</v>
      </c>
      <c r="K235" s="474">
        <v>75920</v>
      </c>
      <c r="L235" s="474">
        <f t="shared" si="7"/>
        <v>1074055.42</v>
      </c>
    </row>
    <row r="236" spans="1:12" ht="12.75" outlineLevel="1">
      <c r="A236" s="419" t="s">
        <v>1274</v>
      </c>
      <c r="C236" s="479"/>
      <c r="D236" s="457" t="s">
        <v>1275</v>
      </c>
      <c r="E236" s="480" t="str">
        <f t="shared" si="6"/>
        <v>DENNIS BOHNENKAMP AWARD</v>
      </c>
      <c r="F236" s="465">
        <v>0</v>
      </c>
      <c r="G236" s="474">
        <v>410</v>
      </c>
      <c r="H236" s="474">
        <v>34.85</v>
      </c>
      <c r="I236" s="474">
        <v>80.68</v>
      </c>
      <c r="J236" s="474">
        <v>0</v>
      </c>
      <c r="K236" s="474">
        <v>6176.86</v>
      </c>
      <c r="L236" s="474">
        <f t="shared" si="7"/>
        <v>6702.389999999999</v>
      </c>
    </row>
    <row r="237" spans="1:12" ht="12.75" outlineLevel="1">
      <c r="A237" s="419" t="s">
        <v>1276</v>
      </c>
      <c r="C237" s="479"/>
      <c r="D237" s="457" t="s">
        <v>1277</v>
      </c>
      <c r="E237" s="480" t="str">
        <f t="shared" si="6"/>
        <v>ERWIN &amp; ADELINE BRANAHL SCHLP</v>
      </c>
      <c r="F237" s="465">
        <v>0</v>
      </c>
      <c r="G237" s="474">
        <v>10000</v>
      </c>
      <c r="H237" s="474">
        <v>41.7</v>
      </c>
      <c r="I237" s="474">
        <v>0</v>
      </c>
      <c r="J237" s="474">
        <v>0</v>
      </c>
      <c r="K237" s="474">
        <v>0</v>
      </c>
      <c r="L237" s="474">
        <f t="shared" si="7"/>
        <v>10041.7</v>
      </c>
    </row>
    <row r="238" spans="1:12" ht="12.75" outlineLevel="1">
      <c r="A238" s="419" t="s">
        <v>1278</v>
      </c>
      <c r="C238" s="479"/>
      <c r="D238" s="457" t="s">
        <v>1279</v>
      </c>
      <c r="E238" s="480" t="str">
        <f t="shared" si="6"/>
        <v>ARAI JAPANESE PROGRAM FUND</v>
      </c>
      <c r="F238" s="465">
        <v>0</v>
      </c>
      <c r="G238" s="474">
        <v>0</v>
      </c>
      <c r="H238" s="474">
        <v>0</v>
      </c>
      <c r="I238" s="474">
        <v>0</v>
      </c>
      <c r="J238" s="474">
        <v>0</v>
      </c>
      <c r="K238" s="474">
        <v>500000</v>
      </c>
      <c r="L238" s="474">
        <f t="shared" si="7"/>
        <v>500000</v>
      </c>
    </row>
    <row r="239" spans="1:13" ht="12.75" customHeight="1">
      <c r="A239" s="419" t="s">
        <v>1280</v>
      </c>
      <c r="D239" s="468" t="s">
        <v>1281</v>
      </c>
      <c r="E239" s="527" t="str">
        <f t="shared" si="6"/>
        <v>TOTAL INCOME RESTRICTED</v>
      </c>
      <c r="F239" s="470">
        <v>25198781.300000016</v>
      </c>
      <c r="G239" s="471">
        <v>2429360.74</v>
      </c>
      <c r="H239" s="471">
        <v>-668287.01</v>
      </c>
      <c r="I239" s="471">
        <v>3893367.86</v>
      </c>
      <c r="J239" s="471">
        <v>0</v>
      </c>
      <c r="K239" s="471">
        <v>1254613.06</v>
      </c>
      <c r="L239" s="471">
        <f t="shared" si="7"/>
        <v>32107835.95000001</v>
      </c>
      <c r="M239" s="479"/>
    </row>
    <row r="240" spans="2:14" s="519" customFormat="1" ht="12.75" customHeight="1">
      <c r="B240" s="520"/>
      <c r="C240" s="479"/>
      <c r="D240" s="479"/>
      <c r="E240" s="524"/>
      <c r="F240" s="528"/>
      <c r="G240" s="529"/>
      <c r="H240" s="529"/>
      <c r="I240" s="529"/>
      <c r="J240" s="529"/>
      <c r="K240" s="529"/>
      <c r="L240" s="529"/>
      <c r="M240" s="481"/>
      <c r="N240" s="524"/>
    </row>
    <row r="241" spans="4:13" ht="12.75" customHeight="1">
      <c r="D241" s="530"/>
      <c r="E241" s="512" t="s">
        <v>1282</v>
      </c>
      <c r="F241" s="470">
        <f aca="true" t="shared" si="8" ref="F241:L241">F239</f>
        <v>25198781.300000016</v>
      </c>
      <c r="G241" s="471">
        <f t="shared" si="8"/>
        <v>2429360.74</v>
      </c>
      <c r="H241" s="471">
        <f t="shared" si="8"/>
        <v>-668287.01</v>
      </c>
      <c r="I241" s="471">
        <f t="shared" si="8"/>
        <v>3893367.86</v>
      </c>
      <c r="J241" s="471">
        <f t="shared" si="8"/>
        <v>0</v>
      </c>
      <c r="K241" s="471">
        <f t="shared" si="8"/>
        <v>1254613.06</v>
      </c>
      <c r="L241" s="471">
        <f t="shared" si="8"/>
        <v>32107835.95000001</v>
      </c>
      <c r="M241" s="479"/>
    </row>
    <row r="242" spans="2:14" s="519" customFormat="1" ht="12.75" customHeight="1">
      <c r="B242" s="520"/>
      <c r="C242" s="479"/>
      <c r="D242" s="531"/>
      <c r="E242" s="532"/>
      <c r="F242" s="526"/>
      <c r="G242" s="523"/>
      <c r="H242" s="523"/>
      <c r="I242" s="523"/>
      <c r="J242" s="523"/>
      <c r="K242" s="523"/>
      <c r="L242" s="523"/>
      <c r="M242" s="479"/>
      <c r="N242" s="524"/>
    </row>
    <row r="243" spans="2:14" s="519" customFormat="1" ht="12.75" customHeight="1">
      <c r="B243" s="533" t="s">
        <v>1283</v>
      </c>
      <c r="C243" s="479"/>
      <c r="D243" s="479"/>
      <c r="E243" s="524"/>
      <c r="F243" s="526"/>
      <c r="G243" s="523"/>
      <c r="H243" s="523"/>
      <c r="I243" s="523"/>
      <c r="J243" s="523"/>
      <c r="K243" s="523"/>
      <c r="L243" s="523"/>
      <c r="M243" s="481"/>
      <c r="N243" s="524"/>
    </row>
    <row r="244" spans="3:12" ht="12.75" customHeight="1">
      <c r="C244" s="456" t="s">
        <v>819</v>
      </c>
      <c r="F244" s="473"/>
      <c r="G244" s="474"/>
      <c r="H244" s="474"/>
      <c r="I244" s="474"/>
      <c r="J244" s="474"/>
      <c r="K244" s="474"/>
      <c r="L244" s="474"/>
    </row>
    <row r="245" spans="1:12" ht="12.75" outlineLevel="1">
      <c r="A245" s="419" t="s">
        <v>1284</v>
      </c>
      <c r="C245" s="479"/>
      <c r="D245" s="457" t="s">
        <v>1285</v>
      </c>
      <c r="E245" s="480" t="str">
        <f aca="true" t="shared" si="9" ref="E245:E250">UPPER(D245)</f>
        <v>CHANC COUNCIL SCHOLR</v>
      </c>
      <c r="F245" s="465">
        <v>88271.97</v>
      </c>
      <c r="G245" s="474">
        <v>0</v>
      </c>
      <c r="H245" s="474">
        <v>-2632.1</v>
      </c>
      <c r="I245" s="474">
        <v>13304.94</v>
      </c>
      <c r="J245" s="474">
        <v>0</v>
      </c>
      <c r="K245" s="474">
        <v>0</v>
      </c>
      <c r="L245" s="474">
        <f>F245+G245+H245+I245-J245+K245</f>
        <v>98944.81</v>
      </c>
    </row>
    <row r="246" spans="1:12" ht="12.75" outlineLevel="1">
      <c r="A246" s="419" t="s">
        <v>1286</v>
      </c>
      <c r="C246" s="479"/>
      <c r="D246" s="457" t="s">
        <v>1287</v>
      </c>
      <c r="E246" s="480" t="str">
        <f t="shared" si="9"/>
        <v>GERMAN SCHOLARSHIP</v>
      </c>
      <c r="F246" s="465">
        <v>57975.93</v>
      </c>
      <c r="G246" s="474">
        <v>25</v>
      </c>
      <c r="H246" s="474">
        <v>-1728.34</v>
      </c>
      <c r="I246" s="474">
        <v>8739.86</v>
      </c>
      <c r="J246" s="474">
        <v>0</v>
      </c>
      <c r="K246" s="474">
        <v>0</v>
      </c>
      <c r="L246" s="474">
        <f>F246+G246+H246+I246-J246+K246</f>
        <v>65012.450000000004</v>
      </c>
    </row>
    <row r="247" spans="1:12" ht="12.75" outlineLevel="1">
      <c r="A247" s="419" t="s">
        <v>1288</v>
      </c>
      <c r="C247" s="479"/>
      <c r="D247" s="457" t="s">
        <v>1289</v>
      </c>
      <c r="E247" s="480" t="str">
        <f t="shared" si="9"/>
        <v>MATH SCIENCE SCHLR</v>
      </c>
      <c r="F247" s="465">
        <v>346201.68</v>
      </c>
      <c r="G247" s="474">
        <v>1131</v>
      </c>
      <c r="H247" s="474">
        <v>-9794.85</v>
      </c>
      <c r="I247" s="474">
        <v>54307.03</v>
      </c>
      <c r="J247" s="474">
        <v>0</v>
      </c>
      <c r="K247" s="474">
        <v>0</v>
      </c>
      <c r="L247" s="474">
        <f>F247+G247+H247+I247-J247+K247</f>
        <v>391844.86</v>
      </c>
    </row>
    <row r="248" spans="1:12" ht="12.75" outlineLevel="1">
      <c r="A248" s="419" t="s">
        <v>1290</v>
      </c>
      <c r="C248" s="479"/>
      <c r="D248" s="457" t="s">
        <v>1291</v>
      </c>
      <c r="E248" s="480" t="str">
        <f t="shared" si="9"/>
        <v>MONSANTO MATH &amp; SCI</v>
      </c>
      <c r="F248" s="465">
        <v>349159.19</v>
      </c>
      <c r="G248" s="474">
        <v>0</v>
      </c>
      <c r="H248" s="474">
        <v>-10411.15</v>
      </c>
      <c r="I248" s="474">
        <v>52627.59</v>
      </c>
      <c r="J248" s="474">
        <v>0</v>
      </c>
      <c r="K248" s="474">
        <v>0</v>
      </c>
      <c r="L248" s="474">
        <f>F248+G248+H248+I248-J248+K248</f>
        <v>391375.63</v>
      </c>
    </row>
    <row r="249" spans="1:12" ht="12.75" outlineLevel="1">
      <c r="A249" s="419" t="s">
        <v>1292</v>
      </c>
      <c r="C249" s="479"/>
      <c r="D249" s="457" t="s">
        <v>1293</v>
      </c>
      <c r="E249" s="480" t="str">
        <f t="shared" si="9"/>
        <v>MERCANTILE LIBRARY FUND</v>
      </c>
      <c r="F249" s="465">
        <v>850429.66</v>
      </c>
      <c r="G249" s="474">
        <v>0</v>
      </c>
      <c r="H249" s="474">
        <v>12687.14</v>
      </c>
      <c r="I249" s="474">
        <v>115471.2</v>
      </c>
      <c r="J249" s="474">
        <v>0</v>
      </c>
      <c r="K249" s="474">
        <v>-978587.8</v>
      </c>
      <c r="L249" s="474">
        <v>0</v>
      </c>
    </row>
    <row r="250" spans="1:12" ht="12.75" customHeight="1">
      <c r="A250" s="419" t="s">
        <v>1294</v>
      </c>
      <c r="D250" s="468" t="s">
        <v>1281</v>
      </c>
      <c r="E250" s="527" t="str">
        <f t="shared" si="9"/>
        <v>TOTAL INCOME RESTRICTED</v>
      </c>
      <c r="F250" s="470">
        <v>1692038.43</v>
      </c>
      <c r="G250" s="471">
        <v>1156</v>
      </c>
      <c r="H250" s="471">
        <v>-11879.3</v>
      </c>
      <c r="I250" s="471">
        <v>244450.62</v>
      </c>
      <c r="J250" s="471">
        <v>0</v>
      </c>
      <c r="K250" s="471">
        <v>-978587.8</v>
      </c>
      <c r="L250" s="471">
        <f>F250+G250+H250+I250-J250+K250</f>
        <v>947177.95</v>
      </c>
    </row>
    <row r="251" spans="6:12" ht="12.75" customHeight="1">
      <c r="F251" s="473"/>
      <c r="G251" s="474"/>
      <c r="H251" s="474"/>
      <c r="I251" s="474"/>
      <c r="J251" s="474"/>
      <c r="K251" s="474"/>
      <c r="L251" s="474"/>
    </row>
    <row r="252" spans="3:12" ht="12.75" customHeight="1">
      <c r="C252" s="456" t="s">
        <v>1295</v>
      </c>
      <c r="F252" s="473"/>
      <c r="G252" s="474"/>
      <c r="H252" s="474"/>
      <c r="I252" s="474"/>
      <c r="J252" s="474"/>
      <c r="K252" s="474"/>
      <c r="L252" s="474"/>
    </row>
    <row r="253" spans="1:12" ht="12.75" customHeight="1">
      <c r="A253" s="419" t="s">
        <v>1296</v>
      </c>
      <c r="D253" s="468" t="s">
        <v>1297</v>
      </c>
      <c r="E253" s="527" t="str">
        <f>UPPER(D253)</f>
        <v>TOTAL INCOME UNRESTRICTED</v>
      </c>
      <c r="F253" s="470">
        <v>0</v>
      </c>
      <c r="G253" s="471">
        <v>0</v>
      </c>
      <c r="H253" s="471">
        <v>0</v>
      </c>
      <c r="I253" s="471">
        <v>0</v>
      </c>
      <c r="J253" s="471">
        <v>0</v>
      </c>
      <c r="K253" s="471">
        <v>0</v>
      </c>
      <c r="L253" s="534">
        <f>F253+G253+H253+I253-J253+K253</f>
        <v>0</v>
      </c>
    </row>
    <row r="254" spans="6:12" ht="12.75" customHeight="1">
      <c r="F254" s="470"/>
      <c r="G254" s="471"/>
      <c r="H254" s="471"/>
      <c r="I254" s="471"/>
      <c r="J254" s="471"/>
      <c r="K254" s="471"/>
      <c r="L254" s="534"/>
    </row>
    <row r="255" spans="5:12" ht="12.75" customHeight="1">
      <c r="E255" s="512" t="s">
        <v>1298</v>
      </c>
      <c r="F255" s="470">
        <f aca="true" t="shared" si="10" ref="F255:L255">F250+F253</f>
        <v>1692038.43</v>
      </c>
      <c r="G255" s="471">
        <f t="shared" si="10"/>
        <v>1156</v>
      </c>
      <c r="H255" s="471">
        <f t="shared" si="10"/>
        <v>-11879.3</v>
      </c>
      <c r="I255" s="471">
        <f t="shared" si="10"/>
        <v>244450.62</v>
      </c>
      <c r="J255" s="471">
        <f t="shared" si="10"/>
        <v>0</v>
      </c>
      <c r="K255" s="471">
        <f t="shared" si="10"/>
        <v>-978587.8</v>
      </c>
      <c r="L255" s="471">
        <f t="shared" si="10"/>
        <v>947177.95</v>
      </c>
    </row>
    <row r="256" spans="6:12" ht="12.75" customHeight="1">
      <c r="F256" s="473"/>
      <c r="G256" s="474"/>
      <c r="H256" s="474"/>
      <c r="I256" s="474"/>
      <c r="J256" s="474"/>
      <c r="K256" s="474"/>
      <c r="L256" s="474"/>
    </row>
    <row r="257" spans="2:12" ht="12.75" customHeight="1">
      <c r="B257" s="455" t="s">
        <v>1299</v>
      </c>
      <c r="F257" s="473"/>
      <c r="G257" s="474"/>
      <c r="H257" s="474"/>
      <c r="I257" s="474"/>
      <c r="J257" s="474"/>
      <c r="K257" s="474"/>
      <c r="L257" s="474"/>
    </row>
    <row r="258" spans="3:12" ht="12.75" customHeight="1">
      <c r="C258" s="456" t="s">
        <v>1300</v>
      </c>
      <c r="F258" s="473"/>
      <c r="G258" s="474"/>
      <c r="H258" s="474"/>
      <c r="I258" s="474"/>
      <c r="J258" s="474"/>
      <c r="K258" s="474"/>
      <c r="L258" s="474"/>
    </row>
    <row r="259" spans="1:12" ht="12.75" outlineLevel="1">
      <c r="A259" s="419" t="s">
        <v>1301</v>
      </c>
      <c r="C259" s="479"/>
      <c r="D259" s="457" t="s">
        <v>1302</v>
      </c>
      <c r="E259" s="480" t="str">
        <f aca="true" t="shared" si="11" ref="E259:E276">UPPER(D259)</f>
        <v>A DESLOGE BATES CRAT</v>
      </c>
      <c r="F259" s="465">
        <v>23153.26</v>
      </c>
      <c r="G259" s="474">
        <v>0</v>
      </c>
      <c r="H259" s="474">
        <v>268.74</v>
      </c>
      <c r="I259" s="474">
        <v>-25.77</v>
      </c>
      <c r="J259" s="474">
        <v>1250</v>
      </c>
      <c r="K259" s="474">
        <v>0</v>
      </c>
      <c r="L259" s="474">
        <f aca="true" t="shared" si="12" ref="L259:L276">F259+G259+H259+I259-J259+K259</f>
        <v>22146.23</v>
      </c>
    </row>
    <row r="260" spans="1:12" ht="12.75" outlineLevel="1">
      <c r="A260" s="419" t="s">
        <v>1303</v>
      </c>
      <c r="C260" s="479"/>
      <c r="D260" s="457" t="s">
        <v>1304</v>
      </c>
      <c r="E260" s="480" t="str">
        <f t="shared" si="11"/>
        <v>DES LEE COMM COLLABO</v>
      </c>
      <c r="F260" s="465">
        <v>303821.77</v>
      </c>
      <c r="G260" s="474">
        <v>0</v>
      </c>
      <c r="H260" s="474">
        <v>5782.91</v>
      </c>
      <c r="I260" s="474">
        <v>53136.06</v>
      </c>
      <c r="J260" s="474">
        <v>37125</v>
      </c>
      <c r="K260" s="474">
        <v>0</v>
      </c>
      <c r="L260" s="474">
        <f t="shared" si="12"/>
        <v>325615.74</v>
      </c>
    </row>
    <row r="261" spans="1:12" ht="12.75" outlineLevel="1">
      <c r="A261" s="419" t="s">
        <v>1305</v>
      </c>
      <c r="C261" s="479"/>
      <c r="D261" s="457" t="s">
        <v>1306</v>
      </c>
      <c r="E261" s="480" t="str">
        <f t="shared" si="11"/>
        <v>DES LEE UMSL SCHP TR</v>
      </c>
      <c r="F261" s="465">
        <v>294841.96</v>
      </c>
      <c r="G261" s="474">
        <v>0</v>
      </c>
      <c r="H261" s="474">
        <v>5706.28</v>
      </c>
      <c r="I261" s="474">
        <v>59602.89</v>
      </c>
      <c r="J261" s="474">
        <v>37500</v>
      </c>
      <c r="K261" s="474">
        <v>0</v>
      </c>
      <c r="L261" s="474">
        <f t="shared" si="12"/>
        <v>322651.13000000006</v>
      </c>
    </row>
    <row r="262" spans="1:12" ht="12.75" outlineLevel="1">
      <c r="A262" s="419" t="s">
        <v>1307</v>
      </c>
      <c r="C262" s="479"/>
      <c r="D262" s="457" t="s">
        <v>1308</v>
      </c>
      <c r="E262" s="480" t="str">
        <f t="shared" si="11"/>
        <v>DES LEE CRIME &amp; VIOL</v>
      </c>
      <c r="F262" s="465">
        <v>319432.65</v>
      </c>
      <c r="G262" s="474">
        <v>0</v>
      </c>
      <c r="H262" s="474">
        <v>4777.58</v>
      </c>
      <c r="I262" s="474">
        <v>42911.49</v>
      </c>
      <c r="J262" s="474">
        <v>37125</v>
      </c>
      <c r="K262" s="474">
        <v>0</v>
      </c>
      <c r="L262" s="474">
        <f t="shared" si="12"/>
        <v>329996.72000000003</v>
      </c>
    </row>
    <row r="263" spans="1:12" ht="12.75" outlineLevel="1">
      <c r="A263" s="419" t="s">
        <v>1309</v>
      </c>
      <c r="C263" s="479"/>
      <c r="D263" s="457" t="s">
        <v>1310</v>
      </c>
      <c r="E263" s="480" t="str">
        <f t="shared" si="11"/>
        <v>D LEE ARTS CTR TRUST</v>
      </c>
      <c r="F263" s="465">
        <v>530879.87</v>
      </c>
      <c r="G263" s="474">
        <v>0</v>
      </c>
      <c r="H263" s="474">
        <v>12897.18</v>
      </c>
      <c r="I263" s="474">
        <v>180009.84</v>
      </c>
      <c r="J263" s="474">
        <v>52500</v>
      </c>
      <c r="K263" s="474">
        <v>0</v>
      </c>
      <c r="L263" s="474">
        <f t="shared" si="12"/>
        <v>671286.89</v>
      </c>
    </row>
    <row r="264" spans="1:12" ht="12.75" outlineLevel="1">
      <c r="A264" s="419" t="s">
        <v>1311</v>
      </c>
      <c r="C264" s="479"/>
      <c r="D264" s="457" t="s">
        <v>1312</v>
      </c>
      <c r="E264" s="480" t="str">
        <f t="shared" si="11"/>
        <v>D LEE CLASSROOM LABS</v>
      </c>
      <c r="F264" s="465">
        <v>361171.41</v>
      </c>
      <c r="G264" s="474">
        <v>0</v>
      </c>
      <c r="H264" s="474">
        <v>4584.17</v>
      </c>
      <c r="I264" s="474">
        <v>-2210.55</v>
      </c>
      <c r="J264" s="474">
        <v>40000</v>
      </c>
      <c r="K264" s="474">
        <v>0</v>
      </c>
      <c r="L264" s="474">
        <f t="shared" si="12"/>
        <v>323545.02999999997</v>
      </c>
    </row>
    <row r="265" spans="1:12" ht="12.75" outlineLevel="1">
      <c r="A265" s="419" t="s">
        <v>1313</v>
      </c>
      <c r="C265" s="479"/>
      <c r="D265" s="457" t="s">
        <v>1314</v>
      </c>
      <c r="E265" s="480" t="str">
        <f t="shared" si="11"/>
        <v>D LEE AFR/AM STUDIES</v>
      </c>
      <c r="F265" s="465">
        <v>723114.78</v>
      </c>
      <c r="G265" s="474">
        <v>0</v>
      </c>
      <c r="H265" s="474">
        <v>12648.95</v>
      </c>
      <c r="I265" s="474">
        <v>1434.31</v>
      </c>
      <c r="J265" s="474">
        <v>80000</v>
      </c>
      <c r="K265" s="474">
        <v>0</v>
      </c>
      <c r="L265" s="474">
        <f t="shared" si="12"/>
        <v>657198.04</v>
      </c>
    </row>
    <row r="266" spans="1:12" ht="12.75" outlineLevel="1">
      <c r="A266" s="419" t="s">
        <v>1315</v>
      </c>
      <c r="C266" s="479"/>
      <c r="D266" s="457" t="s">
        <v>1316</v>
      </c>
      <c r="E266" s="480" t="str">
        <f t="shared" si="11"/>
        <v>DES LEE LEARN CTR RT</v>
      </c>
      <c r="F266" s="465">
        <v>425003.28</v>
      </c>
      <c r="G266" s="474">
        <v>0</v>
      </c>
      <c r="H266" s="474">
        <v>7032.94</v>
      </c>
      <c r="I266" s="474">
        <v>-3722.62</v>
      </c>
      <c r="J266" s="474">
        <v>42625</v>
      </c>
      <c r="K266" s="474">
        <v>0</v>
      </c>
      <c r="L266" s="474">
        <f t="shared" si="12"/>
        <v>385688.60000000003</v>
      </c>
    </row>
    <row r="267" spans="1:12" ht="12.75" outlineLevel="1">
      <c r="A267" s="419" t="s">
        <v>1317</v>
      </c>
      <c r="C267" s="479"/>
      <c r="D267" s="457" t="s">
        <v>1318</v>
      </c>
      <c r="E267" s="480" t="str">
        <f t="shared" si="11"/>
        <v>MCKNIGHT- BARRIGER</v>
      </c>
      <c r="F267" s="465">
        <v>1498859.21</v>
      </c>
      <c r="G267" s="474">
        <v>0</v>
      </c>
      <c r="H267" s="474">
        <v>18673.19</v>
      </c>
      <c r="I267" s="474">
        <v>85552.39</v>
      </c>
      <c r="J267" s="474">
        <v>74216.71</v>
      </c>
      <c r="K267" s="474">
        <v>0</v>
      </c>
      <c r="L267" s="474">
        <f t="shared" si="12"/>
        <v>1528868.0799999998</v>
      </c>
    </row>
    <row r="268" spans="1:12" ht="12.75" outlineLevel="1">
      <c r="A268" s="419" t="s">
        <v>1319</v>
      </c>
      <c r="C268" s="479"/>
      <c r="D268" s="457" t="s">
        <v>1320</v>
      </c>
      <c r="E268" s="480" t="str">
        <f t="shared" si="11"/>
        <v>DES LEE DISABILITIES</v>
      </c>
      <c r="F268" s="465">
        <v>389434.38</v>
      </c>
      <c r="G268" s="474">
        <v>0</v>
      </c>
      <c r="H268" s="474">
        <v>5783.42</v>
      </c>
      <c r="I268" s="474">
        <v>-35393.81</v>
      </c>
      <c r="J268" s="474">
        <v>45375</v>
      </c>
      <c r="K268" s="474">
        <v>0</v>
      </c>
      <c r="L268" s="474">
        <f t="shared" si="12"/>
        <v>314448.99</v>
      </c>
    </row>
    <row r="269" spans="1:12" ht="12.75" outlineLevel="1">
      <c r="A269" s="419" t="s">
        <v>1321</v>
      </c>
      <c r="C269" s="479"/>
      <c r="D269" s="457" t="s">
        <v>1322</v>
      </c>
      <c r="E269" s="480" t="str">
        <f t="shared" si="11"/>
        <v>DES LEE WOMEN LEADER</v>
      </c>
      <c r="F269" s="465">
        <v>73883.98</v>
      </c>
      <c r="G269" s="474">
        <v>0</v>
      </c>
      <c r="H269" s="474">
        <v>897.74</v>
      </c>
      <c r="I269" s="474">
        <v>-16460.57</v>
      </c>
      <c r="J269" s="474">
        <v>8250</v>
      </c>
      <c r="K269" s="474">
        <v>0</v>
      </c>
      <c r="L269" s="474">
        <f t="shared" si="12"/>
        <v>50071.15</v>
      </c>
    </row>
    <row r="270" spans="1:12" ht="12.75" outlineLevel="1">
      <c r="A270" s="419" t="s">
        <v>1323</v>
      </c>
      <c r="C270" s="479"/>
      <c r="D270" s="457" t="s">
        <v>1324</v>
      </c>
      <c r="E270" s="480" t="str">
        <f t="shared" si="11"/>
        <v>DES LEE PARENTING &amp; FAMILY ED</v>
      </c>
      <c r="F270" s="465">
        <v>73884</v>
      </c>
      <c r="G270" s="474">
        <v>0</v>
      </c>
      <c r="H270" s="474">
        <v>897.76</v>
      </c>
      <c r="I270" s="474">
        <v>-16460.61</v>
      </c>
      <c r="J270" s="474">
        <v>8250</v>
      </c>
      <c r="K270" s="474">
        <v>0</v>
      </c>
      <c r="L270" s="474">
        <f t="shared" si="12"/>
        <v>50071.149999999994</v>
      </c>
    </row>
    <row r="271" spans="1:12" ht="12.75" outlineLevel="1">
      <c r="A271" s="419" t="s">
        <v>1325</v>
      </c>
      <c r="C271" s="479"/>
      <c r="D271" s="457" t="s">
        <v>1326</v>
      </c>
      <c r="E271" s="480" t="str">
        <f t="shared" si="11"/>
        <v>DES LEE ONCOLOGY NURSING TRUST</v>
      </c>
      <c r="F271" s="465">
        <v>322021.1</v>
      </c>
      <c r="G271" s="474">
        <v>0</v>
      </c>
      <c r="H271" s="474">
        <v>4762.02</v>
      </c>
      <c r="I271" s="474">
        <v>-16982.31</v>
      </c>
      <c r="J271" s="474">
        <v>32225.8</v>
      </c>
      <c r="K271" s="474">
        <v>0</v>
      </c>
      <c r="L271" s="474">
        <f t="shared" si="12"/>
        <v>277575.01</v>
      </c>
    </row>
    <row r="272" spans="1:12" ht="12.75" outlineLevel="1">
      <c r="A272" s="419" t="s">
        <v>1327</v>
      </c>
      <c r="C272" s="479"/>
      <c r="D272" s="457" t="s">
        <v>1328</v>
      </c>
      <c r="E272" s="480" t="str">
        <f t="shared" si="11"/>
        <v>ARONSON ANNUITY TRUST</v>
      </c>
      <c r="F272" s="465">
        <v>453609.69</v>
      </c>
      <c r="G272" s="474">
        <v>0</v>
      </c>
      <c r="H272" s="474">
        <v>9021.3</v>
      </c>
      <c r="I272" s="474">
        <v>67558.16</v>
      </c>
      <c r="J272" s="474">
        <v>41219.68</v>
      </c>
      <c r="K272" s="474">
        <v>0</v>
      </c>
      <c r="L272" s="474">
        <f t="shared" si="12"/>
        <v>488969.47000000003</v>
      </c>
    </row>
    <row r="273" spans="1:12" ht="12.75" outlineLevel="1">
      <c r="A273" s="419" t="s">
        <v>1329</v>
      </c>
      <c r="C273" s="479"/>
      <c r="D273" s="457" t="s">
        <v>1330</v>
      </c>
      <c r="E273" s="480" t="str">
        <f t="shared" si="11"/>
        <v>D LEE ART EDUC CONTEMP ART RT</v>
      </c>
      <c r="F273" s="465">
        <v>80479.45</v>
      </c>
      <c r="G273" s="474">
        <v>0</v>
      </c>
      <c r="H273" s="474">
        <v>1736.39</v>
      </c>
      <c r="I273" s="474">
        <v>24072.5</v>
      </c>
      <c r="J273" s="474">
        <v>8000</v>
      </c>
      <c r="K273" s="474">
        <v>0</v>
      </c>
      <c r="L273" s="474">
        <f t="shared" si="12"/>
        <v>98288.34</v>
      </c>
    </row>
    <row r="274" spans="1:12" ht="12.75" outlineLevel="1">
      <c r="A274" s="419" t="s">
        <v>1331</v>
      </c>
      <c r="C274" s="479"/>
      <c r="D274" s="457" t="s">
        <v>1332</v>
      </c>
      <c r="E274" s="480" t="str">
        <f t="shared" si="11"/>
        <v>CMNTY COLG TEACH ADM LDR TRUST</v>
      </c>
      <c r="F274" s="465">
        <v>102716.37</v>
      </c>
      <c r="G274" s="474">
        <v>0</v>
      </c>
      <c r="H274" s="474">
        <v>-228.48</v>
      </c>
      <c r="I274" s="474">
        <v>12235.89</v>
      </c>
      <c r="J274" s="474">
        <v>5500</v>
      </c>
      <c r="K274" s="474">
        <v>0</v>
      </c>
      <c r="L274" s="474">
        <f t="shared" si="12"/>
        <v>109223.78</v>
      </c>
    </row>
    <row r="275" spans="1:12" ht="12.75" outlineLevel="1">
      <c r="A275" s="419" t="s">
        <v>1333</v>
      </c>
      <c r="C275" s="479"/>
      <c r="D275" s="457" t="s">
        <v>1334</v>
      </c>
      <c r="E275" s="480" t="str">
        <f t="shared" si="11"/>
        <v>MARY ANN LEE CMNTY COLG TRUST</v>
      </c>
      <c r="F275" s="465">
        <v>0</v>
      </c>
      <c r="G275" s="474">
        <v>450000</v>
      </c>
      <c r="H275" s="474">
        <v>3690.98</v>
      </c>
      <c r="I275" s="474">
        <v>-2850.93</v>
      </c>
      <c r="J275" s="474">
        <v>5455.48</v>
      </c>
      <c r="K275" s="474">
        <v>0</v>
      </c>
      <c r="L275" s="474">
        <f t="shared" si="12"/>
        <v>445384.57</v>
      </c>
    </row>
    <row r="276" spans="1:12" ht="12.75" customHeight="1">
      <c r="A276" s="419" t="s">
        <v>1335</v>
      </c>
      <c r="D276" s="512" t="s">
        <v>1336</v>
      </c>
      <c r="E276" s="527" t="str">
        <f t="shared" si="11"/>
        <v>TOTAL UNITRUST FUNDS</v>
      </c>
      <c r="F276" s="470">
        <v>5976307.160000001</v>
      </c>
      <c r="G276" s="471">
        <v>450000</v>
      </c>
      <c r="H276" s="471">
        <v>98933.07</v>
      </c>
      <c r="I276" s="471">
        <v>432406.36</v>
      </c>
      <c r="J276" s="471">
        <v>556617.67</v>
      </c>
      <c r="K276" s="471">
        <v>0</v>
      </c>
      <c r="L276" s="471">
        <f t="shared" si="12"/>
        <v>6401028.920000002</v>
      </c>
    </row>
    <row r="277" spans="6:12" ht="12.75" customHeight="1">
      <c r="F277" s="535"/>
      <c r="G277" s="474"/>
      <c r="H277" s="474"/>
      <c r="I277" s="474"/>
      <c r="J277" s="474"/>
      <c r="K277" s="474"/>
      <c r="L277" s="474"/>
    </row>
    <row r="278" spans="1:12" ht="12.75" customHeight="1">
      <c r="A278" s="419" t="s">
        <v>1486</v>
      </c>
      <c r="C278" s="456" t="s">
        <v>1337</v>
      </c>
      <c r="F278" s="535"/>
      <c r="G278" s="474"/>
      <c r="H278" s="474"/>
      <c r="I278" s="474"/>
      <c r="J278" s="474"/>
      <c r="K278" s="474"/>
      <c r="L278" s="474"/>
    </row>
    <row r="279" spans="1:12" ht="12.75" outlineLevel="1">
      <c r="A279" s="419" t="s">
        <v>1338</v>
      </c>
      <c r="C279" s="479"/>
      <c r="D279" s="457" t="s">
        <v>1339</v>
      </c>
      <c r="E279" s="480" t="str">
        <f>UPPER(D279)</f>
        <v>HAMMER POOLED INCOME</v>
      </c>
      <c r="F279" s="465">
        <v>22165.11</v>
      </c>
      <c r="G279" s="474">
        <v>0</v>
      </c>
      <c r="H279" s="474">
        <v>1051.74</v>
      </c>
      <c r="I279" s="474">
        <v>-1392.79</v>
      </c>
      <c r="J279" s="474">
        <v>1024.37</v>
      </c>
      <c r="K279" s="474">
        <v>0</v>
      </c>
      <c r="L279" s="474">
        <f>F279+G279+H279+I279-J279+K279</f>
        <v>20799.690000000002</v>
      </c>
    </row>
    <row r="280" spans="1:12" ht="12.75" outlineLevel="1">
      <c r="A280" s="419" t="s">
        <v>1340</v>
      </c>
      <c r="C280" s="479"/>
      <c r="D280" s="457" t="s">
        <v>1341</v>
      </c>
      <c r="E280" s="480" t="str">
        <f>UPPER(D280)</f>
        <v>SCHWARTZ POOLED INC</v>
      </c>
      <c r="F280" s="465">
        <v>10953.94</v>
      </c>
      <c r="G280" s="474">
        <v>0</v>
      </c>
      <c r="H280" s="474">
        <v>507.67</v>
      </c>
      <c r="I280" s="474">
        <v>-927.22</v>
      </c>
      <c r="J280" s="474">
        <v>494.46</v>
      </c>
      <c r="K280" s="474">
        <v>0</v>
      </c>
      <c r="L280" s="474">
        <f>F280+G280+H280+I280-J280+K280</f>
        <v>10039.930000000002</v>
      </c>
    </row>
    <row r="281" spans="1:12" ht="12.75" customHeight="1">
      <c r="A281" s="419" t="s">
        <v>1342</v>
      </c>
      <c r="D281" s="512" t="s">
        <v>1343</v>
      </c>
      <c r="E281" s="527" t="str">
        <f>UPPER(D281)</f>
        <v>TOTAL LIFE INCOME FUNDS</v>
      </c>
      <c r="F281" s="470">
        <v>33119.05</v>
      </c>
      <c r="G281" s="471">
        <v>0</v>
      </c>
      <c r="H281" s="471">
        <v>1559.41</v>
      </c>
      <c r="I281" s="471">
        <v>-2320.01</v>
      </c>
      <c r="J281" s="471">
        <v>1518.83</v>
      </c>
      <c r="K281" s="471">
        <v>0</v>
      </c>
      <c r="L281" s="471">
        <f>F281+G281+H281+I281-J281+K281</f>
        <v>30839.620000000003</v>
      </c>
    </row>
    <row r="282" spans="6:12" ht="12.75" customHeight="1">
      <c r="F282" s="470"/>
      <c r="G282" s="471"/>
      <c r="H282" s="471"/>
      <c r="I282" s="471"/>
      <c r="J282" s="471"/>
      <c r="K282" s="471"/>
      <c r="L282" s="471"/>
    </row>
    <row r="283" spans="3:12" ht="12.75" customHeight="1">
      <c r="C283" s="456" t="s">
        <v>1344</v>
      </c>
      <c r="F283" s="470"/>
      <c r="G283" s="471"/>
      <c r="H283" s="471"/>
      <c r="I283" s="471"/>
      <c r="J283" s="471"/>
      <c r="K283" s="471"/>
      <c r="L283" s="471"/>
    </row>
    <row r="284" spans="1:12" ht="12.75" customHeight="1">
      <c r="A284" s="419" t="s">
        <v>1345</v>
      </c>
      <c r="D284" s="457" t="s">
        <v>1666</v>
      </c>
      <c r="E284" s="527" t="s">
        <v>1346</v>
      </c>
      <c r="F284" s="470">
        <v>0</v>
      </c>
      <c r="G284" s="471">
        <v>0</v>
      </c>
      <c r="H284" s="471">
        <v>0</v>
      </c>
      <c r="I284" s="471">
        <v>0</v>
      </c>
      <c r="J284" s="471">
        <v>0</v>
      </c>
      <c r="K284" s="471">
        <v>0</v>
      </c>
      <c r="L284" s="471">
        <f>F284+G284+H284+I284-J284+K284</f>
        <v>0</v>
      </c>
    </row>
    <row r="285" spans="6:12" ht="12.75" customHeight="1">
      <c r="F285" s="470"/>
      <c r="G285" s="471"/>
      <c r="H285" s="471"/>
      <c r="I285" s="471"/>
      <c r="J285" s="471"/>
      <c r="K285" s="471"/>
      <c r="L285" s="471"/>
    </row>
    <row r="286" spans="5:12" ht="12.75" customHeight="1">
      <c r="E286" s="536" t="s">
        <v>1347</v>
      </c>
      <c r="F286" s="470">
        <f aca="true" t="shared" si="13" ref="F286:L286">F276+F281+F284</f>
        <v>6009426.210000001</v>
      </c>
      <c r="G286" s="470">
        <f t="shared" si="13"/>
        <v>450000</v>
      </c>
      <c r="H286" s="470">
        <f t="shared" si="13"/>
        <v>100492.48000000001</v>
      </c>
      <c r="I286" s="470">
        <f t="shared" si="13"/>
        <v>430086.35</v>
      </c>
      <c r="J286" s="470">
        <f t="shared" si="13"/>
        <v>558136.5</v>
      </c>
      <c r="K286" s="470">
        <f t="shared" si="13"/>
        <v>0</v>
      </c>
      <c r="L286" s="470">
        <f t="shared" si="13"/>
        <v>6431868.540000002</v>
      </c>
    </row>
    <row r="287" ht="12.75" customHeight="1"/>
    <row r="288" spans="5:12" ht="12.75" customHeight="1">
      <c r="E288" s="536" t="s">
        <v>1348</v>
      </c>
      <c r="F288" s="476">
        <f aca="true" t="shared" si="14" ref="F288:L288">F241+F255+F286</f>
        <v>32900245.940000016</v>
      </c>
      <c r="G288" s="477">
        <f t="shared" si="14"/>
        <v>2880516.74</v>
      </c>
      <c r="H288" s="477">
        <f t="shared" si="14"/>
        <v>-579673.8300000001</v>
      </c>
      <c r="I288" s="477">
        <f t="shared" si="14"/>
        <v>4567904.83</v>
      </c>
      <c r="J288" s="477">
        <f t="shared" si="14"/>
        <v>558136.5</v>
      </c>
      <c r="K288" s="477">
        <f t="shared" si="14"/>
        <v>276025.26</v>
      </c>
      <c r="L288" s="477">
        <f t="shared" si="14"/>
        <v>39486882.44000001</v>
      </c>
    </row>
  </sheetData>
  <printOptions horizontalCentered="1"/>
  <pageMargins left="0.5" right="0.5" top="0.75" bottom="0.5" header="0.25" footer="0.25"/>
  <pageSetup horizontalDpi="600" verticalDpi="600" orientation="landscape" scale="74" r:id="rId1"/>
  <rowBreaks count="5" manualBreakCount="5">
    <brk id="53" max="11" man="1"/>
    <brk id="100" max="11" man="1"/>
    <brk id="147" max="11" man="1"/>
    <brk id="194" max="11" man="1"/>
    <brk id="24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B2">
      <selection activeCell="C7" sqref="C7"/>
    </sheetView>
  </sheetViews>
  <sheetFormatPr defaultColWidth="9.140625" defaultRowHeight="12.75" outlineLevelRow="1"/>
  <cols>
    <col min="1" max="1" width="0" style="569" hidden="1" customWidth="1"/>
    <col min="2" max="2" width="2.7109375" style="600" customWidth="1"/>
    <col min="3" max="3" width="45.7109375" style="569" customWidth="1"/>
    <col min="4" max="4" width="8.8515625" style="569" hidden="1" customWidth="1"/>
    <col min="5" max="12" width="15.7109375" style="601" customWidth="1"/>
    <col min="13" max="15" width="0" style="541" hidden="1" customWidth="1"/>
    <col min="16" max="16384" width="9.140625" style="541" customWidth="1"/>
  </cols>
  <sheetData>
    <row r="1" spans="1:12" ht="12.75" hidden="1">
      <c r="A1" s="537" t="s">
        <v>1349</v>
      </c>
      <c r="B1" s="537"/>
      <c r="C1" s="538" t="s">
        <v>1391</v>
      </c>
      <c r="D1" s="538" t="s">
        <v>1350</v>
      </c>
      <c r="E1" s="539" t="s">
        <v>743</v>
      </c>
      <c r="F1" s="539" t="s">
        <v>494</v>
      </c>
      <c r="G1" s="539" t="s">
        <v>0</v>
      </c>
      <c r="H1" s="539" t="s">
        <v>1</v>
      </c>
      <c r="I1" s="539" t="s">
        <v>2</v>
      </c>
      <c r="J1" s="539" t="s">
        <v>3</v>
      </c>
      <c r="K1" s="539" t="s">
        <v>748</v>
      </c>
      <c r="L1" s="540" t="s">
        <v>1488</v>
      </c>
    </row>
    <row r="2" spans="1:15" s="549" customFormat="1" ht="15.75" customHeight="1">
      <c r="A2" s="542"/>
      <c r="B2" s="543" t="str">
        <f>"University of Missouri - "&amp;RBN</f>
        <v>University of Missouri - St. Louis</v>
      </c>
      <c r="C2" s="544"/>
      <c r="D2" s="544"/>
      <c r="E2" s="544"/>
      <c r="F2" s="545"/>
      <c r="G2" s="546"/>
      <c r="H2" s="431"/>
      <c r="I2" s="547"/>
      <c r="J2" s="547"/>
      <c r="K2" s="547"/>
      <c r="L2" s="548"/>
      <c r="O2" s="499" t="s">
        <v>1657</v>
      </c>
    </row>
    <row r="3" spans="1:15" s="549" customFormat="1" ht="15.75" customHeight="1">
      <c r="A3" s="542"/>
      <c r="B3" s="550" t="s">
        <v>4</v>
      </c>
      <c r="C3" s="551"/>
      <c r="D3" s="551"/>
      <c r="E3" s="551"/>
      <c r="F3" s="552"/>
      <c r="G3" s="553"/>
      <c r="H3" s="496"/>
      <c r="I3" s="554"/>
      <c r="J3" s="554"/>
      <c r="K3" s="554"/>
      <c r="L3" s="498"/>
      <c r="O3" s="499" t="s">
        <v>5</v>
      </c>
    </row>
    <row r="4" spans="1:15" s="560" customFormat="1" ht="15.75" customHeight="1">
      <c r="A4" s="555"/>
      <c r="B4" s="446" t="str">
        <f>"As of "&amp;TEXT(O4,"MMMM DD, YYYY")</f>
        <v>As of June 30, 2004</v>
      </c>
      <c r="C4" s="556"/>
      <c r="D4" s="557"/>
      <c r="E4" s="558"/>
      <c r="F4" s="559"/>
      <c r="G4" s="558"/>
      <c r="H4" s="558"/>
      <c r="I4" s="558"/>
      <c r="J4" s="558"/>
      <c r="K4" s="558"/>
      <c r="L4" s="447"/>
      <c r="O4" s="561" t="s">
        <v>1656</v>
      </c>
    </row>
    <row r="5" spans="1:12" s="481" customFormat="1" ht="12.75" customHeight="1">
      <c r="A5" s="562"/>
      <c r="B5" s="563"/>
      <c r="C5" s="564"/>
      <c r="D5" s="565"/>
      <c r="E5" s="566"/>
      <c r="F5" s="566"/>
      <c r="G5" s="567"/>
      <c r="H5" s="566"/>
      <c r="I5" s="566"/>
      <c r="J5" s="566"/>
      <c r="K5" s="566"/>
      <c r="L5" s="568"/>
    </row>
    <row r="6" spans="2:15" ht="42" customHeight="1">
      <c r="B6" s="537"/>
      <c r="C6" s="570"/>
      <c r="D6" s="571" t="s">
        <v>6</v>
      </c>
      <c r="E6" s="572" t="s">
        <v>7</v>
      </c>
      <c r="F6" s="572" t="s">
        <v>8</v>
      </c>
      <c r="G6" s="573" t="s">
        <v>9</v>
      </c>
      <c r="H6" s="573" t="s">
        <v>10</v>
      </c>
      <c r="I6" s="573" t="s">
        <v>11</v>
      </c>
      <c r="J6" s="574"/>
      <c r="K6" s="573" t="s">
        <v>12</v>
      </c>
      <c r="L6" s="573" t="s">
        <v>13</v>
      </c>
      <c r="O6" s="575"/>
    </row>
    <row r="7" spans="1:15" s="582" customFormat="1" ht="13.5" thickBot="1">
      <c r="A7" s="576"/>
      <c r="B7" s="577"/>
      <c r="C7" s="578"/>
      <c r="D7" s="579" t="s">
        <v>14</v>
      </c>
      <c r="E7" s="580">
        <v>37803</v>
      </c>
      <c r="F7" s="581" t="s">
        <v>15</v>
      </c>
      <c r="G7" s="581" t="s">
        <v>16</v>
      </c>
      <c r="H7" s="581" t="s">
        <v>17</v>
      </c>
      <c r="I7" s="581" t="s">
        <v>18</v>
      </c>
      <c r="J7" s="581" t="s">
        <v>755</v>
      </c>
      <c r="K7" s="581" t="s">
        <v>19</v>
      </c>
      <c r="L7" s="580">
        <v>38168</v>
      </c>
      <c r="O7" s="583"/>
    </row>
    <row r="8" spans="2:12" ht="12.75" customHeight="1" thickTop="1">
      <c r="B8" s="584"/>
      <c r="C8" s="585"/>
      <c r="D8" s="586"/>
      <c r="E8" s="587"/>
      <c r="F8" s="587"/>
      <c r="G8" s="587"/>
      <c r="H8" s="587"/>
      <c r="I8" s="587"/>
      <c r="J8" s="587"/>
      <c r="K8" s="587"/>
      <c r="L8" s="587"/>
    </row>
    <row r="9" spans="2:12" ht="12.75" customHeight="1">
      <c r="B9" s="467" t="s">
        <v>20</v>
      </c>
      <c r="C9" s="119"/>
      <c r="D9" s="467"/>
      <c r="E9" s="587"/>
      <c r="F9" s="587"/>
      <c r="G9" s="587"/>
      <c r="H9" s="587"/>
      <c r="I9" s="587"/>
      <c r="J9" s="587"/>
      <c r="K9" s="587"/>
      <c r="L9" s="587"/>
    </row>
    <row r="10" spans="1:12" ht="12.75" outlineLevel="1">
      <c r="A10" s="537" t="s">
        <v>21</v>
      </c>
      <c r="B10" s="588"/>
      <c r="C10" s="589" t="s">
        <v>22</v>
      </c>
      <c r="D10" s="590" t="s">
        <v>23</v>
      </c>
      <c r="E10" s="591">
        <v>38.17</v>
      </c>
      <c r="F10" s="591">
        <v>0</v>
      </c>
      <c r="G10" s="591">
        <v>0</v>
      </c>
      <c r="H10" s="591">
        <v>0</v>
      </c>
      <c r="I10" s="591">
        <v>0</v>
      </c>
      <c r="J10" s="591">
        <v>0</v>
      </c>
      <c r="K10" s="591">
        <v>0</v>
      </c>
      <c r="L10" s="591">
        <f aca="true" t="shared" si="0" ref="L10:L21">E10+F10+G10+H10+I10+K10-J10</f>
        <v>38.17</v>
      </c>
    </row>
    <row r="11" spans="1:12" ht="12.75" outlineLevel="1">
      <c r="A11" s="537" t="s">
        <v>24</v>
      </c>
      <c r="B11" s="588"/>
      <c r="C11" s="589" t="s">
        <v>25</v>
      </c>
      <c r="D11" s="590" t="s">
        <v>26</v>
      </c>
      <c r="E11" s="592">
        <v>-28200.93</v>
      </c>
      <c r="F11" s="592">
        <v>0</v>
      </c>
      <c r="G11" s="592">
        <v>0</v>
      </c>
      <c r="H11" s="592">
        <v>0</v>
      </c>
      <c r="I11" s="592">
        <v>0</v>
      </c>
      <c r="J11" s="592">
        <v>-28200.93</v>
      </c>
      <c r="K11" s="592">
        <v>0</v>
      </c>
      <c r="L11" s="592">
        <f t="shared" si="0"/>
        <v>0</v>
      </c>
    </row>
    <row r="12" spans="1:12" ht="12.75" outlineLevel="1">
      <c r="A12" s="537" t="s">
        <v>27</v>
      </c>
      <c r="B12" s="588"/>
      <c r="C12" s="589" t="s">
        <v>28</v>
      </c>
      <c r="D12" s="590" t="s">
        <v>29</v>
      </c>
      <c r="E12" s="592">
        <v>937128.37</v>
      </c>
      <c r="F12" s="592">
        <v>0</v>
      </c>
      <c r="G12" s="592">
        <v>0</v>
      </c>
      <c r="H12" s="592">
        <v>-3037.62</v>
      </c>
      <c r="I12" s="592">
        <v>-934090.75</v>
      </c>
      <c r="J12" s="592">
        <v>0</v>
      </c>
      <c r="K12" s="592">
        <v>0</v>
      </c>
      <c r="L12" s="592">
        <f t="shared" si="0"/>
        <v>0</v>
      </c>
    </row>
    <row r="13" spans="1:12" ht="12.75" outlineLevel="1">
      <c r="A13" s="537" t="s">
        <v>30</v>
      </c>
      <c r="B13" s="588"/>
      <c r="C13" s="589" t="s">
        <v>31</v>
      </c>
      <c r="D13" s="590" t="s">
        <v>32</v>
      </c>
      <c r="E13" s="592">
        <v>-248334.14</v>
      </c>
      <c r="F13" s="592">
        <v>0</v>
      </c>
      <c r="G13" s="592">
        <v>0</v>
      </c>
      <c r="H13" s="592">
        <v>-3109.14</v>
      </c>
      <c r="I13" s="592">
        <v>0</v>
      </c>
      <c r="J13" s="592">
        <v>-251443.28</v>
      </c>
      <c r="K13" s="592">
        <v>0</v>
      </c>
      <c r="L13" s="592">
        <f t="shared" si="0"/>
        <v>0</v>
      </c>
    </row>
    <row r="14" spans="1:12" ht="12.75" outlineLevel="1">
      <c r="A14" s="537" t="s">
        <v>33</v>
      </c>
      <c r="B14" s="588"/>
      <c r="C14" s="589" t="s">
        <v>34</v>
      </c>
      <c r="D14" s="590" t="s">
        <v>35</v>
      </c>
      <c r="E14" s="592">
        <v>0</v>
      </c>
      <c r="F14" s="592">
        <v>0</v>
      </c>
      <c r="G14" s="592">
        <v>0</v>
      </c>
      <c r="H14" s="592">
        <v>21561.78</v>
      </c>
      <c r="I14" s="592">
        <v>4116468.52</v>
      </c>
      <c r="J14" s="592">
        <v>4138030.3</v>
      </c>
      <c r="K14" s="592">
        <v>0</v>
      </c>
      <c r="L14" s="592">
        <f t="shared" si="0"/>
        <v>0</v>
      </c>
    </row>
    <row r="15" spans="1:12" ht="12.75" outlineLevel="1">
      <c r="A15" s="537" t="s">
        <v>36</v>
      </c>
      <c r="B15" s="588"/>
      <c r="C15" s="589" t="s">
        <v>37</v>
      </c>
      <c r="D15" s="590" t="s">
        <v>38</v>
      </c>
      <c r="E15" s="592">
        <v>1485.54</v>
      </c>
      <c r="F15" s="592">
        <v>0</v>
      </c>
      <c r="G15" s="592">
        <v>0</v>
      </c>
      <c r="H15" s="592">
        <v>51.33</v>
      </c>
      <c r="I15" s="592">
        <v>0</v>
      </c>
      <c r="J15" s="592">
        <v>0</v>
      </c>
      <c r="K15" s="592">
        <v>0</v>
      </c>
      <c r="L15" s="592">
        <f t="shared" si="0"/>
        <v>1536.87</v>
      </c>
    </row>
    <row r="16" spans="1:12" ht="12.75" outlineLevel="1">
      <c r="A16" s="537" t="s">
        <v>39</v>
      </c>
      <c r="B16" s="588"/>
      <c r="C16" s="589" t="s">
        <v>40</v>
      </c>
      <c r="D16" s="590" t="s">
        <v>41</v>
      </c>
      <c r="E16" s="592">
        <v>7791.78</v>
      </c>
      <c r="F16" s="592">
        <v>0</v>
      </c>
      <c r="G16" s="592">
        <v>0</v>
      </c>
      <c r="H16" s="592">
        <v>269.33</v>
      </c>
      <c r="I16" s="592">
        <v>0</v>
      </c>
      <c r="J16" s="592">
        <v>0</v>
      </c>
      <c r="K16" s="592">
        <v>0</v>
      </c>
      <c r="L16" s="592">
        <f t="shared" si="0"/>
        <v>8061.11</v>
      </c>
    </row>
    <row r="17" spans="1:12" ht="12.75" outlineLevel="1">
      <c r="A17" s="537" t="s">
        <v>42</v>
      </c>
      <c r="B17" s="588"/>
      <c r="C17" s="589" t="s">
        <v>43</v>
      </c>
      <c r="D17" s="590" t="s">
        <v>44</v>
      </c>
      <c r="E17" s="592">
        <v>1657.31</v>
      </c>
      <c r="F17" s="592">
        <v>0</v>
      </c>
      <c r="G17" s="592">
        <v>0</v>
      </c>
      <c r="H17" s="592">
        <v>0</v>
      </c>
      <c r="I17" s="592">
        <v>0</v>
      </c>
      <c r="J17" s="592">
        <v>0</v>
      </c>
      <c r="K17" s="592">
        <v>0</v>
      </c>
      <c r="L17" s="592">
        <f t="shared" si="0"/>
        <v>1657.31</v>
      </c>
    </row>
    <row r="18" spans="1:12" ht="12.75" outlineLevel="1">
      <c r="A18" s="537" t="s">
        <v>45</v>
      </c>
      <c r="B18" s="588"/>
      <c r="C18" s="589" t="s">
        <v>46</v>
      </c>
      <c r="D18" s="590" t="s">
        <v>47</v>
      </c>
      <c r="E18" s="592">
        <v>52250.99</v>
      </c>
      <c r="F18" s="592">
        <v>0</v>
      </c>
      <c r="G18" s="592">
        <v>0</v>
      </c>
      <c r="H18" s="592">
        <v>1806.08</v>
      </c>
      <c r="I18" s="592">
        <v>0</v>
      </c>
      <c r="J18" s="592">
        <v>0</v>
      </c>
      <c r="K18" s="592">
        <v>0</v>
      </c>
      <c r="L18" s="592">
        <f t="shared" si="0"/>
        <v>54057.07</v>
      </c>
    </row>
    <row r="19" spans="1:12" ht="12.75" outlineLevel="1">
      <c r="A19" s="537" t="s">
        <v>48</v>
      </c>
      <c r="B19" s="588"/>
      <c r="C19" s="589" t="s">
        <v>49</v>
      </c>
      <c r="D19" s="590" t="s">
        <v>50</v>
      </c>
      <c r="E19" s="592">
        <v>0</v>
      </c>
      <c r="F19" s="592">
        <v>0</v>
      </c>
      <c r="G19" s="592">
        <v>30000</v>
      </c>
      <c r="H19" s="592">
        <v>0</v>
      </c>
      <c r="I19" s="592">
        <v>0</v>
      </c>
      <c r="J19" s="592">
        <v>32845.91</v>
      </c>
      <c r="K19" s="592">
        <v>0</v>
      </c>
      <c r="L19" s="592">
        <f t="shared" si="0"/>
        <v>-2845.9100000000035</v>
      </c>
    </row>
    <row r="20" spans="1:12" ht="12.75" outlineLevel="1">
      <c r="A20" s="537" t="s">
        <v>51</v>
      </c>
      <c r="B20" s="593"/>
      <c r="C20" s="589" t="s">
        <v>52</v>
      </c>
      <c r="D20" s="590" t="s">
        <v>53</v>
      </c>
      <c r="E20" s="592">
        <v>15948.57</v>
      </c>
      <c r="F20" s="592">
        <v>0</v>
      </c>
      <c r="G20" s="592">
        <v>0</v>
      </c>
      <c r="H20" s="592">
        <v>0</v>
      </c>
      <c r="I20" s="592">
        <v>0</v>
      </c>
      <c r="J20" s="592">
        <v>0</v>
      </c>
      <c r="K20" s="592">
        <v>0</v>
      </c>
      <c r="L20" s="592">
        <f t="shared" si="0"/>
        <v>15948.57</v>
      </c>
    </row>
    <row r="21" spans="1:12" s="594" customFormat="1" ht="12.75" customHeight="1">
      <c r="A21" s="594" t="s">
        <v>54</v>
      </c>
      <c r="B21" s="455"/>
      <c r="C21" s="595" t="s">
        <v>55</v>
      </c>
      <c r="D21" s="512"/>
      <c r="E21" s="470">
        <v>739765.66</v>
      </c>
      <c r="F21" s="470">
        <v>0</v>
      </c>
      <c r="G21" s="470">
        <v>30000</v>
      </c>
      <c r="H21" s="470">
        <v>17541.76</v>
      </c>
      <c r="I21" s="470">
        <v>3182377.77</v>
      </c>
      <c r="J21" s="470">
        <v>3891232</v>
      </c>
      <c r="K21" s="470">
        <v>0</v>
      </c>
      <c r="L21" s="470">
        <f t="shared" si="0"/>
        <v>78453.18999999994</v>
      </c>
    </row>
    <row r="22" spans="1:12" s="169" customFormat="1" ht="12.75" customHeight="1">
      <c r="A22" s="594"/>
      <c r="B22" s="455"/>
      <c r="C22" s="596"/>
      <c r="D22" s="455"/>
      <c r="E22" s="470"/>
      <c r="F22" s="470"/>
      <c r="G22" s="470"/>
      <c r="H22" s="470"/>
      <c r="I22" s="470"/>
      <c r="J22" s="470"/>
      <c r="K22" s="470"/>
      <c r="L22" s="470"/>
    </row>
    <row r="23" spans="2:12" ht="12.75" customHeight="1">
      <c r="B23" s="467" t="s">
        <v>56</v>
      </c>
      <c r="C23" s="119"/>
      <c r="D23" s="455"/>
      <c r="E23" s="592"/>
      <c r="F23" s="592"/>
      <c r="G23" s="592"/>
      <c r="H23" s="592"/>
      <c r="I23" s="592"/>
      <c r="J23" s="592"/>
      <c r="K23" s="592"/>
      <c r="L23" s="592"/>
    </row>
    <row r="24" spans="1:12" ht="12.75" outlineLevel="1">
      <c r="A24" s="537" t="s">
        <v>57</v>
      </c>
      <c r="B24" s="588"/>
      <c r="C24" s="589" t="s">
        <v>58</v>
      </c>
      <c r="D24" s="590" t="s">
        <v>59</v>
      </c>
      <c r="E24" s="592">
        <v>835500.3</v>
      </c>
      <c r="F24" s="592">
        <v>0</v>
      </c>
      <c r="G24" s="592">
        <v>0</v>
      </c>
      <c r="H24" s="592">
        <v>0</v>
      </c>
      <c r="I24" s="592">
        <v>0</v>
      </c>
      <c r="J24" s="592">
        <v>3841726.4</v>
      </c>
      <c r="K24" s="592">
        <v>2233683.51</v>
      </c>
      <c r="L24" s="592">
        <f aca="true" t="shared" si="1" ref="L24:L33">E24+F24+G24+H24+I24+K24-J24</f>
        <v>-772542.5900000003</v>
      </c>
    </row>
    <row r="25" spans="1:12" ht="12.75" outlineLevel="1">
      <c r="A25" s="537" t="s">
        <v>60</v>
      </c>
      <c r="B25" s="588"/>
      <c r="C25" s="589" t="s">
        <v>61</v>
      </c>
      <c r="D25" s="590" t="s">
        <v>62</v>
      </c>
      <c r="E25" s="592">
        <v>1.09</v>
      </c>
      <c r="F25" s="592">
        <v>0</v>
      </c>
      <c r="G25" s="592">
        <v>0</v>
      </c>
      <c r="H25" s="592">
        <v>0</v>
      </c>
      <c r="I25" s="592">
        <v>0</v>
      </c>
      <c r="J25" s="592">
        <v>0</v>
      </c>
      <c r="K25" s="592">
        <v>0</v>
      </c>
      <c r="L25" s="592">
        <f t="shared" si="1"/>
        <v>1.09</v>
      </c>
    </row>
    <row r="26" spans="1:12" ht="12.75" outlineLevel="1">
      <c r="A26" s="537" t="s">
        <v>63</v>
      </c>
      <c r="B26" s="588"/>
      <c r="C26" s="589" t="s">
        <v>64</v>
      </c>
      <c r="D26" s="590" t="s">
        <v>65</v>
      </c>
      <c r="E26" s="592">
        <v>1099488.65</v>
      </c>
      <c r="F26" s="592">
        <v>0</v>
      </c>
      <c r="G26" s="592">
        <v>0</v>
      </c>
      <c r="H26" s="592">
        <v>114982.94</v>
      </c>
      <c r="I26" s="592">
        <v>0</v>
      </c>
      <c r="J26" s="592">
        <v>1077769</v>
      </c>
      <c r="K26" s="592">
        <v>1132717.06</v>
      </c>
      <c r="L26" s="592">
        <f t="shared" si="1"/>
        <v>1269419.65</v>
      </c>
    </row>
    <row r="27" spans="1:12" ht="12.75" outlineLevel="1">
      <c r="A27" s="537" t="s">
        <v>66</v>
      </c>
      <c r="B27" s="588"/>
      <c r="C27" s="589" t="s">
        <v>67</v>
      </c>
      <c r="D27" s="590" t="s">
        <v>68</v>
      </c>
      <c r="E27" s="592">
        <v>1038965.99</v>
      </c>
      <c r="F27" s="592">
        <v>0</v>
      </c>
      <c r="G27" s="592">
        <v>0</v>
      </c>
      <c r="H27" s="592">
        <v>0</v>
      </c>
      <c r="I27" s="592">
        <v>0</v>
      </c>
      <c r="J27" s="592">
        <v>0</v>
      </c>
      <c r="K27" s="592">
        <v>-1025000</v>
      </c>
      <c r="L27" s="592">
        <f t="shared" si="1"/>
        <v>13965.98999999999</v>
      </c>
    </row>
    <row r="28" spans="1:12" ht="12.75" outlineLevel="1">
      <c r="A28" s="537" t="s">
        <v>69</v>
      </c>
      <c r="B28" s="588"/>
      <c r="C28" s="589" t="s">
        <v>70</v>
      </c>
      <c r="D28" s="590" t="s">
        <v>71</v>
      </c>
      <c r="E28" s="592">
        <v>140289.35</v>
      </c>
      <c r="F28" s="592">
        <v>0</v>
      </c>
      <c r="G28" s="592">
        <v>0</v>
      </c>
      <c r="H28" s="592">
        <v>0</v>
      </c>
      <c r="I28" s="592">
        <v>0</v>
      </c>
      <c r="J28" s="592">
        <v>0</v>
      </c>
      <c r="K28" s="592">
        <v>259710.65</v>
      </c>
      <c r="L28" s="592">
        <f t="shared" si="1"/>
        <v>400000</v>
      </c>
    </row>
    <row r="29" spans="1:12" ht="12.75" outlineLevel="1">
      <c r="A29" s="537" t="s">
        <v>72</v>
      </c>
      <c r="B29" s="588"/>
      <c r="C29" s="589" t="s">
        <v>73</v>
      </c>
      <c r="D29" s="590" t="s">
        <v>74</v>
      </c>
      <c r="E29" s="592">
        <v>1924699.17</v>
      </c>
      <c r="F29" s="592">
        <v>0</v>
      </c>
      <c r="G29" s="592">
        <v>0</v>
      </c>
      <c r="H29" s="592">
        <v>0</v>
      </c>
      <c r="I29" s="592">
        <v>0</v>
      </c>
      <c r="J29" s="592">
        <v>19968.72</v>
      </c>
      <c r="K29" s="592">
        <v>705000</v>
      </c>
      <c r="L29" s="592">
        <f t="shared" si="1"/>
        <v>2609730.4499999997</v>
      </c>
    </row>
    <row r="30" spans="1:12" ht="12.75" outlineLevel="1">
      <c r="A30" s="537" t="s">
        <v>75</v>
      </c>
      <c r="B30" s="588"/>
      <c r="C30" s="589" t="s">
        <v>76</v>
      </c>
      <c r="D30" s="590" t="s">
        <v>77</v>
      </c>
      <c r="E30" s="592">
        <v>1360000</v>
      </c>
      <c r="F30" s="592">
        <v>0</v>
      </c>
      <c r="G30" s="592">
        <v>0</v>
      </c>
      <c r="H30" s="592">
        <v>0</v>
      </c>
      <c r="I30" s="592">
        <v>0</v>
      </c>
      <c r="J30" s="592">
        <v>0</v>
      </c>
      <c r="K30" s="592">
        <v>1550000</v>
      </c>
      <c r="L30" s="592">
        <f t="shared" si="1"/>
        <v>2910000</v>
      </c>
    </row>
    <row r="31" spans="1:12" ht="12.75" outlineLevel="1">
      <c r="A31" s="537" t="s">
        <v>78</v>
      </c>
      <c r="B31" s="588"/>
      <c r="C31" s="589" t="s">
        <v>79</v>
      </c>
      <c r="D31" s="590" t="s">
        <v>80</v>
      </c>
      <c r="E31" s="592">
        <v>119093.08</v>
      </c>
      <c r="F31" s="592">
        <v>0</v>
      </c>
      <c r="G31" s="592">
        <v>0</v>
      </c>
      <c r="H31" s="592">
        <v>0</v>
      </c>
      <c r="I31" s="592">
        <v>0</v>
      </c>
      <c r="J31" s="592">
        <v>0</v>
      </c>
      <c r="K31" s="592">
        <v>143906.92</v>
      </c>
      <c r="L31" s="592">
        <f t="shared" si="1"/>
        <v>263000</v>
      </c>
    </row>
    <row r="32" spans="1:12" ht="12.75" outlineLevel="1">
      <c r="A32" s="537" t="s">
        <v>81</v>
      </c>
      <c r="B32" s="593"/>
      <c r="C32" s="589" t="s">
        <v>82</v>
      </c>
      <c r="D32" s="590" t="s">
        <v>83</v>
      </c>
      <c r="E32" s="592">
        <v>1689136.83</v>
      </c>
      <c r="F32" s="592">
        <v>0</v>
      </c>
      <c r="G32" s="592">
        <v>0</v>
      </c>
      <c r="H32" s="592">
        <v>0</v>
      </c>
      <c r="I32" s="592">
        <v>0</v>
      </c>
      <c r="J32" s="592">
        <v>1197943.89</v>
      </c>
      <c r="K32" s="592">
        <v>369453.57</v>
      </c>
      <c r="L32" s="592">
        <f t="shared" si="1"/>
        <v>860646.5100000002</v>
      </c>
    </row>
    <row r="33" spans="1:12" s="594" customFormat="1" ht="12.75" customHeight="1">
      <c r="A33" s="594" t="s">
        <v>84</v>
      </c>
      <c r="B33" s="455"/>
      <c r="C33" s="595" t="s">
        <v>85</v>
      </c>
      <c r="D33" s="597"/>
      <c r="E33" s="598">
        <v>8207174.460000001</v>
      </c>
      <c r="F33" s="470">
        <v>0</v>
      </c>
      <c r="G33" s="470">
        <v>0</v>
      </c>
      <c r="H33" s="470">
        <v>114982.94</v>
      </c>
      <c r="I33" s="470">
        <v>0</v>
      </c>
      <c r="J33" s="470">
        <v>6137408.01</v>
      </c>
      <c r="K33" s="470">
        <v>5369471.710000001</v>
      </c>
      <c r="L33" s="470">
        <f t="shared" si="1"/>
        <v>7554221.100000003</v>
      </c>
    </row>
    <row r="34" spans="2:12" ht="12.75" customHeight="1">
      <c r="B34" s="593"/>
      <c r="C34" s="589"/>
      <c r="D34" s="599"/>
      <c r="E34" s="587"/>
      <c r="F34" s="587"/>
      <c r="G34" s="587"/>
      <c r="H34" s="587"/>
      <c r="I34" s="587"/>
      <c r="J34" s="587"/>
      <c r="K34" s="587"/>
      <c r="L34" s="587"/>
    </row>
    <row r="35" spans="2:12" ht="12.75" customHeight="1">
      <c r="B35" s="593"/>
      <c r="C35" s="595" t="s">
        <v>86</v>
      </c>
      <c r="D35" s="597"/>
      <c r="E35" s="476">
        <f aca="true" t="shared" si="2" ref="E35:K35">E21+E33</f>
        <v>8946940.120000001</v>
      </c>
      <c r="F35" s="476">
        <f t="shared" si="2"/>
        <v>0</v>
      </c>
      <c r="G35" s="476">
        <f t="shared" si="2"/>
        <v>30000</v>
      </c>
      <c r="H35" s="476">
        <f t="shared" si="2"/>
        <v>132524.7</v>
      </c>
      <c r="I35" s="476">
        <f t="shared" si="2"/>
        <v>3182377.77</v>
      </c>
      <c r="J35" s="476">
        <f t="shared" si="2"/>
        <v>10028640.01</v>
      </c>
      <c r="K35" s="476">
        <f t="shared" si="2"/>
        <v>5369471.710000001</v>
      </c>
      <c r="L35" s="476">
        <f>E35+F35+G35+H35+I35+K35-J35</f>
        <v>7632674.290000001</v>
      </c>
    </row>
    <row r="37" ht="12.75">
      <c r="A37" s="569" t="s">
        <v>1486</v>
      </c>
    </row>
    <row r="38" ht="12.75">
      <c r="A38" s="569" t="s">
        <v>1486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2">
      <selection activeCell="B7" sqref="B7"/>
    </sheetView>
  </sheetViews>
  <sheetFormatPr defaultColWidth="9.140625" defaultRowHeight="12.75"/>
  <cols>
    <col min="1" max="1" width="3.00390625" style="2" hidden="1" customWidth="1"/>
    <col min="2" max="2" width="2.7109375" style="2" customWidth="1"/>
    <col min="3" max="3" width="2.57421875" style="34" customWidth="1"/>
    <col min="4" max="4" width="66.7109375" style="2" customWidth="1"/>
    <col min="5" max="5" width="7.140625" style="34" customWidth="1"/>
    <col min="6" max="6" width="20.7109375" style="34" hidden="1" customWidth="1"/>
    <col min="7" max="10" width="20.7109375" style="34" customWidth="1"/>
    <col min="11" max="11" width="9.140625" style="119" hidden="1" customWidth="1"/>
    <col min="12" max="14" width="0" style="119" hidden="1" customWidth="1"/>
    <col min="15" max="15" width="9.140625" style="119" customWidth="1" collapsed="1"/>
    <col min="16" max="16384" width="9.140625" style="119" customWidth="1"/>
  </cols>
  <sheetData>
    <row r="1" spans="1:6" ht="12.75" customHeight="1" hidden="1">
      <c r="A1" s="2" t="s">
        <v>1486</v>
      </c>
      <c r="C1" s="34" t="s">
        <v>1486</v>
      </c>
      <c r="D1" s="2" t="s">
        <v>1486</v>
      </c>
      <c r="E1" s="34" t="s">
        <v>1486</v>
      </c>
      <c r="F1" s="34" t="s">
        <v>87</v>
      </c>
    </row>
    <row r="2" spans="1:10" s="125" customFormat="1" ht="15.75" customHeight="1">
      <c r="A2" s="602"/>
      <c r="B2" s="603" t="str">
        <f>"University of Missouri - "&amp;RBN</f>
        <v>University of Missouri - St. Louis</v>
      </c>
      <c r="C2" s="604"/>
      <c r="D2" s="121"/>
      <c r="E2" s="121"/>
      <c r="F2" s="121"/>
      <c r="G2" s="121"/>
      <c r="H2" s="121"/>
      <c r="I2" s="121"/>
      <c r="J2" s="605"/>
    </row>
    <row r="3" spans="1:10" s="129" customFormat="1" ht="15.75" customHeight="1">
      <c r="A3" s="10"/>
      <c r="B3" s="606" t="s">
        <v>88</v>
      </c>
      <c r="C3" s="607"/>
      <c r="D3" s="12"/>
      <c r="E3" s="12"/>
      <c r="F3" s="12"/>
      <c r="G3" s="12"/>
      <c r="H3" s="12"/>
      <c r="I3" s="12"/>
      <c r="J3" s="608"/>
    </row>
    <row r="4" spans="2:14" ht="15.75" customHeight="1">
      <c r="B4" s="609" t="str">
        <f>"  As of "&amp;TEXT(K4,"MMMM DD, YYY")</f>
        <v>  As of June 30, 2004</v>
      </c>
      <c r="C4" s="610"/>
      <c r="D4" s="16"/>
      <c r="E4" s="16"/>
      <c r="F4" s="16"/>
      <c r="G4" s="16"/>
      <c r="H4" s="16"/>
      <c r="I4" s="16"/>
      <c r="J4" s="611"/>
      <c r="K4" s="2" t="s">
        <v>1656</v>
      </c>
      <c r="N4" s="119" t="s">
        <v>1657</v>
      </c>
    </row>
    <row r="5" spans="2:11" ht="12.75" customHeight="1">
      <c r="B5" s="612"/>
      <c r="C5" s="613"/>
      <c r="D5" s="136"/>
      <c r="E5" s="136"/>
      <c r="F5" s="136"/>
      <c r="G5" s="136"/>
      <c r="H5" s="136"/>
      <c r="I5" s="136"/>
      <c r="J5" s="614"/>
      <c r="K5" s="2"/>
    </row>
    <row r="6" spans="1:10" ht="15.75" customHeight="1">
      <c r="A6" s="22"/>
      <c r="B6" s="140"/>
      <c r="C6" s="29"/>
      <c r="D6" s="29"/>
      <c r="E6" s="150"/>
      <c r="F6" s="151" t="s">
        <v>13</v>
      </c>
      <c r="G6" s="151" t="s">
        <v>13</v>
      </c>
      <c r="H6" s="151"/>
      <c r="I6" s="151"/>
      <c r="J6" s="151" t="s">
        <v>13</v>
      </c>
    </row>
    <row r="7" spans="1:10" ht="12.75">
      <c r="A7" s="22"/>
      <c r="B7" s="156"/>
      <c r="C7" s="157"/>
      <c r="D7" s="157"/>
      <c r="E7" s="158"/>
      <c r="F7" s="615" t="s">
        <v>89</v>
      </c>
      <c r="G7" s="616" t="s">
        <v>90</v>
      </c>
      <c r="H7" s="159" t="s">
        <v>91</v>
      </c>
      <c r="I7" s="159" t="s">
        <v>92</v>
      </c>
      <c r="J7" s="159" t="str">
        <f>TEXT(K4,"MMMM DD, YYY")</f>
        <v>June 30, 2004</v>
      </c>
    </row>
    <row r="8" spans="1:10" ht="12.75" customHeight="1">
      <c r="A8" s="22"/>
      <c r="B8" s="23" t="s">
        <v>93</v>
      </c>
      <c r="C8" s="160"/>
      <c r="D8" s="160"/>
      <c r="E8" s="24"/>
      <c r="F8" s="27"/>
      <c r="G8" s="27"/>
      <c r="H8" s="27"/>
      <c r="I8" s="27"/>
      <c r="J8" s="27"/>
    </row>
    <row r="9" spans="1:10" ht="12.75" customHeight="1">
      <c r="A9" s="34" t="s">
        <v>94</v>
      </c>
      <c r="B9" s="30"/>
      <c r="C9" s="161" t="s">
        <v>95</v>
      </c>
      <c r="D9" s="161"/>
      <c r="E9" s="31"/>
      <c r="F9" s="32">
        <v>230097163.51</v>
      </c>
      <c r="G9" s="35">
        <f aca="true" t="shared" si="0" ref="G9:G17">F9</f>
        <v>230097163.51</v>
      </c>
      <c r="H9" s="35">
        <v>14441403.95</v>
      </c>
      <c r="I9" s="35">
        <v>-2710197.15</v>
      </c>
      <c r="J9" s="35">
        <f aca="true" t="shared" si="1" ref="J9:J16">G9+H9+I9</f>
        <v>241828370.30999997</v>
      </c>
    </row>
    <row r="10" spans="1:10" ht="12.75" customHeight="1">
      <c r="A10" s="34" t="s">
        <v>96</v>
      </c>
      <c r="B10" s="30"/>
      <c r="C10" s="161" t="s">
        <v>1801</v>
      </c>
      <c r="D10" s="161"/>
      <c r="E10" s="31"/>
      <c r="F10" s="32">
        <v>9298057.6</v>
      </c>
      <c r="G10" s="37">
        <f t="shared" si="0"/>
        <v>9298057.6</v>
      </c>
      <c r="H10" s="37">
        <v>178253.13</v>
      </c>
      <c r="I10" s="37">
        <v>-12000</v>
      </c>
      <c r="J10" s="37">
        <f t="shared" si="1"/>
        <v>9464310.73</v>
      </c>
    </row>
    <row r="11" spans="1:10" ht="12.75" customHeight="1">
      <c r="A11" s="34" t="s">
        <v>97</v>
      </c>
      <c r="B11" s="30"/>
      <c r="C11" s="161" t="s">
        <v>1804</v>
      </c>
      <c r="D11" s="161"/>
      <c r="E11" s="31"/>
      <c r="F11" s="32">
        <v>13417307.68</v>
      </c>
      <c r="G11" s="37">
        <f t="shared" si="0"/>
        <v>13417307.68</v>
      </c>
      <c r="H11" s="37">
        <v>1472809.44</v>
      </c>
      <c r="I11" s="37">
        <v>0</v>
      </c>
      <c r="J11" s="37">
        <f t="shared" si="1"/>
        <v>14890117.12</v>
      </c>
    </row>
    <row r="12" spans="1:10" ht="12.75" customHeight="1">
      <c r="A12" s="161" t="s">
        <v>98</v>
      </c>
      <c r="B12" s="30"/>
      <c r="C12" s="161" t="s">
        <v>99</v>
      </c>
      <c r="D12" s="161"/>
      <c r="E12" s="31"/>
      <c r="F12" s="32">
        <v>18925592.11</v>
      </c>
      <c r="G12" s="37">
        <f t="shared" si="0"/>
        <v>18925592.11</v>
      </c>
      <c r="H12" s="37">
        <v>1402997.47</v>
      </c>
      <c r="I12" s="37">
        <v>-2823986</v>
      </c>
      <c r="J12" s="37">
        <f t="shared" si="1"/>
        <v>17504603.58</v>
      </c>
    </row>
    <row r="13" spans="1:10" ht="12.75" customHeight="1">
      <c r="A13" s="161" t="s">
        <v>100</v>
      </c>
      <c r="B13" s="30"/>
      <c r="C13" s="161" t="s">
        <v>101</v>
      </c>
      <c r="D13" s="161"/>
      <c r="E13" s="31"/>
      <c r="F13" s="32">
        <v>0</v>
      </c>
      <c r="G13" s="37">
        <f t="shared" si="0"/>
        <v>0</v>
      </c>
      <c r="H13" s="37">
        <v>0</v>
      </c>
      <c r="I13" s="37">
        <v>0</v>
      </c>
      <c r="J13" s="37">
        <f t="shared" si="1"/>
        <v>0</v>
      </c>
    </row>
    <row r="14" spans="1:10" ht="12.75" customHeight="1">
      <c r="A14" s="161" t="s">
        <v>102</v>
      </c>
      <c r="B14" s="30"/>
      <c r="C14" s="161" t="s">
        <v>103</v>
      </c>
      <c r="D14" s="161"/>
      <c r="E14" s="31"/>
      <c r="F14" s="32">
        <v>3062206.04</v>
      </c>
      <c r="G14" s="37">
        <f t="shared" si="0"/>
        <v>3062206.04</v>
      </c>
      <c r="H14" s="37">
        <v>25544.9</v>
      </c>
      <c r="I14" s="37">
        <v>0</v>
      </c>
      <c r="J14" s="37">
        <f t="shared" si="1"/>
        <v>3087750.94</v>
      </c>
    </row>
    <row r="15" spans="1:10" ht="12.75" customHeight="1">
      <c r="A15" s="161" t="s">
        <v>104</v>
      </c>
      <c r="B15" s="30"/>
      <c r="C15" s="161" t="s">
        <v>105</v>
      </c>
      <c r="D15" s="161"/>
      <c r="E15" s="31"/>
      <c r="F15" s="32">
        <v>36811959.7</v>
      </c>
      <c r="G15" s="37">
        <f t="shared" si="0"/>
        <v>36811959.7</v>
      </c>
      <c r="H15" s="37">
        <v>1770388.7</v>
      </c>
      <c r="I15" s="37">
        <v>0</v>
      </c>
      <c r="J15" s="37">
        <f t="shared" si="1"/>
        <v>38582348.400000006</v>
      </c>
    </row>
    <row r="16" spans="1:10" ht="12.75" customHeight="1">
      <c r="A16" s="161" t="s">
        <v>106</v>
      </c>
      <c r="B16" s="30"/>
      <c r="C16" s="161" t="s">
        <v>1437</v>
      </c>
      <c r="D16" s="161"/>
      <c r="E16" s="31"/>
      <c r="F16" s="32">
        <v>12358951.86</v>
      </c>
      <c r="G16" s="37">
        <f t="shared" si="0"/>
        <v>12358951.86</v>
      </c>
      <c r="H16" s="37">
        <v>-7564702.15</v>
      </c>
      <c r="I16" s="37">
        <v>0</v>
      </c>
      <c r="J16" s="37">
        <f t="shared" si="1"/>
        <v>4794249.709999999</v>
      </c>
    </row>
    <row r="17" spans="1:10" s="169" customFormat="1" ht="12.75" customHeight="1">
      <c r="A17" s="160" t="s">
        <v>1486</v>
      </c>
      <c r="B17" s="23"/>
      <c r="C17" s="160"/>
      <c r="D17" s="160"/>
      <c r="E17" s="24"/>
      <c r="F17" s="27"/>
      <c r="G17" s="40">
        <f t="shared" si="0"/>
        <v>0</v>
      </c>
      <c r="H17" s="40"/>
      <c r="I17" s="40"/>
      <c r="J17" s="40"/>
    </row>
    <row r="18" spans="1:10" s="169" customFormat="1" ht="12.75" customHeight="1">
      <c r="A18" s="160" t="s">
        <v>1486</v>
      </c>
      <c r="B18" s="23"/>
      <c r="D18" s="160" t="s">
        <v>1438</v>
      </c>
      <c r="E18" s="24"/>
      <c r="F18" s="27">
        <f>F16+F15+F14+F13+F12+F11+F10+F9</f>
        <v>323971238.5</v>
      </c>
      <c r="G18" s="40">
        <f>G16+G15+G14+G13+G12+G11+G10+G9</f>
        <v>323971238.5</v>
      </c>
      <c r="H18" s="40">
        <f>H16+H15+H14+H13+H12+H11+H10+H9</f>
        <v>11726695.44</v>
      </c>
      <c r="I18" s="40">
        <f>I16+I15+I14+I13+I12+I11+I10+I9</f>
        <v>-5546183.15</v>
      </c>
      <c r="J18" s="40">
        <f>J16+J15+J14+J13+J12+J11+J10+J9</f>
        <v>330151750.78999996</v>
      </c>
    </row>
    <row r="19" spans="1:10" s="169" customFormat="1" ht="12.75" customHeight="1">
      <c r="A19" s="160" t="s">
        <v>1486</v>
      </c>
      <c r="B19" s="23"/>
      <c r="C19" s="160"/>
      <c r="D19" s="160"/>
      <c r="E19" s="24"/>
      <c r="F19" s="27"/>
      <c r="G19" s="40"/>
      <c r="H19" s="40"/>
      <c r="I19" s="40"/>
      <c r="J19" s="40"/>
    </row>
    <row r="20" spans="1:10" s="169" customFormat="1" ht="12.75" customHeight="1">
      <c r="A20" s="160" t="s">
        <v>1486</v>
      </c>
      <c r="B20" s="23" t="s">
        <v>1439</v>
      </c>
      <c r="D20" s="160"/>
      <c r="E20" s="24"/>
      <c r="F20" s="27"/>
      <c r="G20" s="40"/>
      <c r="H20" s="40"/>
      <c r="I20" s="40"/>
      <c r="J20" s="40"/>
    </row>
    <row r="21" spans="1:10" ht="12.75" customHeight="1">
      <c r="A21" s="161" t="s">
        <v>1440</v>
      </c>
      <c r="B21" s="30"/>
      <c r="C21" s="161" t="s">
        <v>95</v>
      </c>
      <c r="D21" s="599"/>
      <c r="E21" s="31"/>
      <c r="F21" s="32">
        <v>-56438128.49</v>
      </c>
      <c r="G21" s="37">
        <f>-F21</f>
        <v>56438128.49</v>
      </c>
      <c r="H21" s="37">
        <f>6215996.21015-220</f>
        <v>6215776.21015</v>
      </c>
      <c r="I21" s="37">
        <f>-1303300.13+220</f>
        <v>-1303080.13</v>
      </c>
      <c r="J21" s="37">
        <f>G21+H21+I21</f>
        <v>61350824.570149995</v>
      </c>
    </row>
    <row r="22" spans="1:10" ht="12.75" customHeight="1">
      <c r="A22" s="161" t="s">
        <v>1441</v>
      </c>
      <c r="B22" s="30"/>
      <c r="C22" s="161" t="s">
        <v>1804</v>
      </c>
      <c r="D22" s="599"/>
      <c r="E22" s="31"/>
      <c r="F22" s="32">
        <v>-5657933.69</v>
      </c>
      <c r="G22" s="37">
        <f>-F22</f>
        <v>5657933.69</v>
      </c>
      <c r="H22" s="37">
        <v>531374.97002</v>
      </c>
      <c r="I22" s="37">
        <v>0</v>
      </c>
      <c r="J22" s="37">
        <f>G22+H22+I22</f>
        <v>6189308.66002</v>
      </c>
    </row>
    <row r="23" spans="1:10" ht="12.75" customHeight="1">
      <c r="A23" s="161" t="s">
        <v>1442</v>
      </c>
      <c r="B23" s="30"/>
      <c r="C23" s="161" t="s">
        <v>99</v>
      </c>
      <c r="D23" s="599"/>
      <c r="E23" s="31"/>
      <c r="F23" s="32">
        <v>-14573212.85</v>
      </c>
      <c r="G23" s="37">
        <f>-F23</f>
        <v>14573212.85</v>
      </c>
      <c r="H23" s="37">
        <v>1163144</v>
      </c>
      <c r="I23" s="37">
        <f>-2578008.14+35799</f>
        <v>-2542209.14</v>
      </c>
      <c r="J23" s="37">
        <f>G23+H23+I23</f>
        <v>13194147.709999999</v>
      </c>
    </row>
    <row r="24" spans="1:10" ht="12.75" customHeight="1">
      <c r="A24" s="34"/>
      <c r="B24" s="30"/>
      <c r="C24" s="161"/>
      <c r="D24" s="161"/>
      <c r="E24" s="31"/>
      <c r="F24" s="32"/>
      <c r="G24" s="37"/>
      <c r="H24" s="37"/>
      <c r="I24" s="37"/>
      <c r="J24" s="37"/>
    </row>
    <row r="25" spans="1:10" s="169" customFormat="1" ht="12.75" customHeight="1">
      <c r="A25" s="29"/>
      <c r="B25" s="23"/>
      <c r="D25" s="160" t="s">
        <v>1443</v>
      </c>
      <c r="E25" s="24"/>
      <c r="F25" s="27">
        <f>F21+F22+F23</f>
        <v>-76669275.03</v>
      </c>
      <c r="G25" s="40">
        <f>G21+G22+G23</f>
        <v>76669275.03</v>
      </c>
      <c r="H25" s="40">
        <f>H21+H22+H23</f>
        <v>7910295.18017</v>
      </c>
      <c r="I25" s="40">
        <f>I21+I22+I23</f>
        <v>-3845289.27</v>
      </c>
      <c r="J25" s="40">
        <f>J21+J22+J23</f>
        <v>80734280.94016999</v>
      </c>
    </row>
    <row r="26" spans="1:10" ht="12.75" customHeight="1">
      <c r="A26" s="34"/>
      <c r="B26" s="30"/>
      <c r="C26" s="161"/>
      <c r="D26" s="161"/>
      <c r="E26" s="31"/>
      <c r="F26" s="32"/>
      <c r="G26" s="32"/>
      <c r="H26" s="32"/>
      <c r="I26" s="32"/>
      <c r="J26" s="32"/>
    </row>
    <row r="27" spans="1:10" ht="12.75" customHeight="1">
      <c r="A27" s="29"/>
      <c r="B27" s="23" t="s">
        <v>1444</v>
      </c>
      <c r="C27" s="161"/>
      <c r="D27" s="160"/>
      <c r="E27" s="24"/>
      <c r="F27" s="27">
        <f>F18-F25</f>
        <v>400640513.53</v>
      </c>
      <c r="G27" s="42">
        <f>G18-G25</f>
        <v>247301963.47</v>
      </c>
      <c r="H27" s="42">
        <f>H18-H25</f>
        <v>3816400.25983</v>
      </c>
      <c r="I27" s="42">
        <f>I18-I25</f>
        <v>-1700893.8800000004</v>
      </c>
      <c r="J27" s="42">
        <f>J18-J25</f>
        <v>249417469.84982997</v>
      </c>
    </row>
    <row r="63" spans="6:7" ht="12.75">
      <c r="F63" s="617"/>
      <c r="G63" s="617"/>
    </row>
  </sheetData>
  <printOptions horizontalCentered="1"/>
  <pageMargins left="0.5" right="0.5" top="0.75" bottom="0.25" header="0.25" footer="0.5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pane xSplit="1" topLeftCell="B1" activePane="topRight" state="frozen"/>
      <selection pane="topLeft" activeCell="J10" sqref="J10"/>
      <selection pane="topRight" activeCell="A6" sqref="A6"/>
    </sheetView>
  </sheetViews>
  <sheetFormatPr defaultColWidth="9.7109375" defaultRowHeight="12.75"/>
  <cols>
    <col min="1" max="1" width="75.7109375" style="621" customWidth="1"/>
    <col min="2" max="3" width="15.7109375" style="621" customWidth="1"/>
    <col min="4" max="4" width="13.7109375" style="621" customWidth="1"/>
    <col min="5" max="5" width="14.57421875" style="621" customWidth="1"/>
    <col min="6" max="6" width="15.7109375" style="119" customWidth="1"/>
    <col min="7" max="7" width="15.7109375" style="669" customWidth="1"/>
    <col min="8" max="8" width="16.7109375" style="621" customWidth="1"/>
    <col min="9" max="10" width="15.7109375" style="621" customWidth="1"/>
    <col min="11" max="11" width="11.7109375" style="621" customWidth="1"/>
    <col min="12" max="12" width="13.7109375" style="621" customWidth="1"/>
    <col min="13" max="13" width="9.7109375" style="621" customWidth="1"/>
    <col min="14" max="14" width="14.7109375" style="621" customWidth="1"/>
    <col min="15" max="16384" width="9.7109375" style="621" customWidth="1"/>
  </cols>
  <sheetData>
    <row r="1" spans="1:7" ht="15.75" customHeight="1">
      <c r="A1" s="618" t="s">
        <v>1445</v>
      </c>
      <c r="B1" s="619"/>
      <c r="C1" s="619" t="s">
        <v>1446</v>
      </c>
      <c r="D1" s="619"/>
      <c r="E1" s="619"/>
      <c r="F1" s="619"/>
      <c r="G1" s="620"/>
    </row>
    <row r="2" spans="1:7" ht="15.75" customHeight="1">
      <c r="A2" s="437" t="s">
        <v>1447</v>
      </c>
      <c r="B2" s="440" t="s">
        <v>1446</v>
      </c>
      <c r="C2" s="440"/>
      <c r="D2" s="440"/>
      <c r="E2" s="440"/>
      <c r="F2" s="440"/>
      <c r="G2" s="622"/>
    </row>
    <row r="3" spans="1:7" ht="15.75" customHeight="1">
      <c r="A3" s="623" t="s">
        <v>1448</v>
      </c>
      <c r="B3" s="624"/>
      <c r="C3" s="624"/>
      <c r="D3" s="624"/>
      <c r="E3" s="624"/>
      <c r="F3" s="440"/>
      <c r="G3" s="622"/>
    </row>
    <row r="4" spans="1:7" ht="12.75" customHeight="1">
      <c r="A4" s="625"/>
      <c r="B4" s="624"/>
      <c r="C4" s="624"/>
      <c r="D4" s="624"/>
      <c r="E4" s="624"/>
      <c r="F4" s="440"/>
      <c r="G4" s="622"/>
    </row>
    <row r="5" spans="1:9" s="119" customFormat="1" ht="12.75" customHeight="1">
      <c r="A5" s="626" t="s">
        <v>1449</v>
      </c>
      <c r="B5" s="627" t="s">
        <v>1450</v>
      </c>
      <c r="C5" s="628" t="s">
        <v>13</v>
      </c>
      <c r="D5" s="628"/>
      <c r="E5" s="628"/>
      <c r="F5" s="627"/>
      <c r="G5" s="629" t="s">
        <v>13</v>
      </c>
      <c r="H5" s="630"/>
      <c r="I5" s="630"/>
    </row>
    <row r="6" spans="1:9" ht="12.75" customHeight="1">
      <c r="A6" s="631" t="s">
        <v>1449</v>
      </c>
      <c r="B6" s="632" t="s">
        <v>1451</v>
      </c>
      <c r="C6" s="633">
        <v>37803</v>
      </c>
      <c r="D6" s="634" t="s">
        <v>91</v>
      </c>
      <c r="E6" s="634" t="s">
        <v>1452</v>
      </c>
      <c r="F6" s="632" t="s">
        <v>1453</v>
      </c>
      <c r="G6" s="635">
        <v>38168</v>
      </c>
      <c r="H6" s="636"/>
      <c r="I6" s="636"/>
    </row>
    <row r="7" spans="1:9" ht="12.75" customHeight="1">
      <c r="A7" s="637"/>
      <c r="B7" s="638"/>
      <c r="C7" s="639"/>
      <c r="D7" s="640"/>
      <c r="E7" s="641"/>
      <c r="F7" s="642"/>
      <c r="G7" s="643"/>
      <c r="H7" s="636"/>
      <c r="I7" s="636"/>
    </row>
    <row r="8" spans="1:9" ht="12.75" customHeight="1">
      <c r="A8" s="644" t="s">
        <v>1454</v>
      </c>
      <c r="B8" s="645" t="s">
        <v>1446</v>
      </c>
      <c r="C8" s="646"/>
      <c r="D8" s="646"/>
      <c r="E8" s="646"/>
      <c r="F8" s="646"/>
      <c r="G8" s="647"/>
      <c r="H8" s="636"/>
      <c r="I8" s="636"/>
    </row>
    <row r="9" spans="1:9" s="119" customFormat="1" ht="12.75" customHeight="1">
      <c r="A9" s="648" t="s">
        <v>1449</v>
      </c>
      <c r="B9" s="645" t="s">
        <v>1446</v>
      </c>
      <c r="C9" s="645"/>
      <c r="D9" s="645"/>
      <c r="E9" s="645"/>
      <c r="F9" s="645"/>
      <c r="G9" s="649"/>
      <c r="H9" s="650"/>
      <c r="I9" s="650"/>
    </row>
    <row r="10" spans="1:9" ht="12.75" customHeight="1">
      <c r="A10" s="651" t="s">
        <v>1455</v>
      </c>
      <c r="B10" s="652"/>
      <c r="C10" s="652"/>
      <c r="D10" s="652"/>
      <c r="E10" s="653"/>
      <c r="F10" s="645"/>
      <c r="G10" s="654"/>
      <c r="H10" s="636"/>
      <c r="I10" s="636"/>
    </row>
    <row r="11" spans="1:9" ht="12.75" customHeight="1">
      <c r="A11" s="651" t="s">
        <v>1456</v>
      </c>
      <c r="B11" s="655">
        <v>5903690.4</v>
      </c>
      <c r="C11" s="655">
        <v>4918332.8</v>
      </c>
      <c r="D11" s="655">
        <v>0</v>
      </c>
      <c r="E11" s="655">
        <v>-4784350.19</v>
      </c>
      <c r="F11" s="656">
        <v>133982.61</v>
      </c>
      <c r="G11" s="655">
        <v>0</v>
      </c>
      <c r="H11" s="636"/>
      <c r="I11" s="636"/>
    </row>
    <row r="12" spans="1:9" ht="12.75" customHeight="1">
      <c r="A12" s="651"/>
      <c r="B12" s="657"/>
      <c r="C12" s="657"/>
      <c r="D12" s="657"/>
      <c r="E12" s="657"/>
      <c r="F12" s="658"/>
      <c r="G12" s="657"/>
      <c r="H12" s="636"/>
      <c r="I12" s="636"/>
    </row>
    <row r="13" spans="1:9" ht="12.75" customHeight="1">
      <c r="A13" s="651" t="s">
        <v>1457</v>
      </c>
      <c r="B13" s="657"/>
      <c r="C13" s="657"/>
      <c r="D13" s="657"/>
      <c r="E13" s="657"/>
      <c r="F13" s="658"/>
      <c r="G13" s="657"/>
      <c r="H13" s="636"/>
      <c r="I13" s="636"/>
    </row>
    <row r="14" spans="1:9" ht="12.75" customHeight="1">
      <c r="A14" s="651" t="s">
        <v>1458</v>
      </c>
      <c r="B14" s="657">
        <v>7849723.2</v>
      </c>
      <c r="C14" s="657">
        <v>771968.37</v>
      </c>
      <c r="D14" s="657">
        <v>0</v>
      </c>
      <c r="E14" s="657">
        <v>0</v>
      </c>
      <c r="F14" s="658">
        <v>139059.54</v>
      </c>
      <c r="G14" s="657">
        <f>C14+D14-E14-F14</f>
        <v>632908.83</v>
      </c>
      <c r="H14" s="636"/>
      <c r="I14" s="636"/>
    </row>
    <row r="15" spans="1:9" ht="12.75" customHeight="1">
      <c r="A15" s="651"/>
      <c r="B15" s="657"/>
      <c r="C15" s="657"/>
      <c r="D15" s="657"/>
      <c r="E15" s="657"/>
      <c r="F15" s="658"/>
      <c r="G15" s="657"/>
      <c r="H15" s="636"/>
      <c r="I15" s="636"/>
    </row>
    <row r="16" spans="1:9" ht="12.75" customHeight="1">
      <c r="A16" s="651" t="s">
        <v>1459</v>
      </c>
      <c r="B16" s="657"/>
      <c r="C16" s="657"/>
      <c r="D16" s="657"/>
      <c r="E16" s="657"/>
      <c r="F16" s="658"/>
      <c r="G16" s="657"/>
      <c r="H16" s="636"/>
      <c r="I16" s="636"/>
    </row>
    <row r="17" spans="1:9" ht="12.75" customHeight="1">
      <c r="A17" s="651" t="s">
        <v>1460</v>
      </c>
      <c r="B17" s="657">
        <f>7950000+26895000</f>
        <v>34845000</v>
      </c>
      <c r="C17" s="657">
        <v>33000000</v>
      </c>
      <c r="D17" s="657">
        <v>0</v>
      </c>
      <c r="E17" s="657">
        <v>0</v>
      </c>
      <c r="F17" s="658">
        <f>510000+155000</f>
        <v>665000</v>
      </c>
      <c r="G17" s="657">
        <f>C17+D17-E17-F17</f>
        <v>32335000</v>
      </c>
      <c r="H17" s="636"/>
      <c r="I17" s="636"/>
    </row>
    <row r="18" spans="1:9" ht="12.75" customHeight="1">
      <c r="A18" s="651"/>
      <c r="B18" s="657"/>
      <c r="C18" s="657"/>
      <c r="D18" s="657"/>
      <c r="E18" s="657"/>
      <c r="F18" s="658"/>
      <c r="G18" s="657"/>
      <c r="H18" s="636"/>
      <c r="I18" s="636"/>
    </row>
    <row r="19" spans="1:9" ht="12.75" customHeight="1">
      <c r="A19" s="651" t="s">
        <v>1461</v>
      </c>
      <c r="B19" s="657"/>
      <c r="C19" s="657"/>
      <c r="D19" s="657"/>
      <c r="E19" s="657"/>
      <c r="F19" s="658"/>
      <c r="G19" s="657"/>
      <c r="H19" s="636"/>
      <c r="I19" s="636"/>
    </row>
    <row r="20" spans="1:9" ht="12.75" customHeight="1">
      <c r="A20" s="651" t="s">
        <v>1462</v>
      </c>
      <c r="B20" s="657"/>
      <c r="C20" s="657"/>
      <c r="D20" s="657"/>
      <c r="E20" s="657"/>
      <c r="F20" s="658"/>
      <c r="G20" s="657"/>
      <c r="H20" s="636"/>
      <c r="I20" s="636"/>
    </row>
    <row r="21" spans="1:9" ht="12.75" customHeight="1">
      <c r="A21" s="651" t="s">
        <v>1463</v>
      </c>
      <c r="B21" s="657">
        <v>2436113.91</v>
      </c>
      <c r="C21" s="657">
        <v>2210930.63</v>
      </c>
      <c r="D21" s="657">
        <v>0</v>
      </c>
      <c r="E21" s="657">
        <v>0</v>
      </c>
      <c r="F21" s="658">
        <f>47988.98+73647.62</f>
        <v>121636.6</v>
      </c>
      <c r="G21" s="657">
        <f>C21+D21-E21-F21</f>
        <v>2089294.0299999998</v>
      </c>
      <c r="H21" s="636"/>
      <c r="I21" s="636"/>
    </row>
    <row r="22" spans="1:9" ht="12.75" customHeight="1">
      <c r="A22" s="651"/>
      <c r="B22" s="657"/>
      <c r="C22" s="657"/>
      <c r="D22" s="657"/>
      <c r="E22" s="657"/>
      <c r="F22" s="658"/>
      <c r="G22" s="657"/>
      <c r="H22" s="636"/>
      <c r="I22" s="636"/>
    </row>
    <row r="23" spans="1:9" ht="12.75" customHeight="1">
      <c r="A23" s="651" t="s">
        <v>1464</v>
      </c>
      <c r="B23" s="657"/>
      <c r="C23" s="657"/>
      <c r="D23" s="657"/>
      <c r="E23" s="657"/>
      <c r="F23" s="658"/>
      <c r="G23" s="657"/>
      <c r="H23" s="636"/>
      <c r="I23" s="636"/>
    </row>
    <row r="24" spans="1:9" ht="12.75" customHeight="1">
      <c r="A24" s="651" t="s">
        <v>1465</v>
      </c>
      <c r="B24" s="658">
        <v>13074250</v>
      </c>
      <c r="C24" s="658">
        <v>12880916.67</v>
      </c>
      <c r="D24" s="658">
        <v>-5050000</v>
      </c>
      <c r="E24" s="657">
        <v>0</v>
      </c>
      <c r="F24" s="658">
        <v>122607.28</v>
      </c>
      <c r="G24" s="657">
        <f>C24+D24-E24-F24</f>
        <v>7708309.39</v>
      </c>
      <c r="H24" s="636"/>
      <c r="I24" s="636"/>
    </row>
    <row r="25" spans="1:9" ht="12.75" customHeight="1">
      <c r="A25" s="651"/>
      <c r="B25" s="658"/>
      <c r="C25" s="658"/>
      <c r="D25" s="658"/>
      <c r="E25" s="657"/>
      <c r="F25" s="658"/>
      <c r="G25" s="657"/>
      <c r="H25" s="636"/>
      <c r="I25" s="636"/>
    </row>
    <row r="26" spans="1:9" ht="12.75" customHeight="1">
      <c r="A26" s="651" t="s">
        <v>1466</v>
      </c>
      <c r="B26" s="658"/>
      <c r="C26" s="658"/>
      <c r="D26" s="658"/>
      <c r="E26" s="657"/>
      <c r="F26" s="658"/>
      <c r="G26" s="657"/>
      <c r="H26" s="636"/>
      <c r="I26" s="636"/>
    </row>
    <row r="27" spans="1:9" ht="12.75" customHeight="1">
      <c r="A27" s="651" t="s">
        <v>1467</v>
      </c>
      <c r="B27" s="658"/>
      <c r="C27" s="658"/>
      <c r="D27" s="658"/>
      <c r="E27" s="657"/>
      <c r="F27" s="658"/>
      <c r="G27" s="657"/>
      <c r="H27" s="636"/>
      <c r="I27" s="636"/>
    </row>
    <row r="28" spans="1:9" ht="12.75" customHeight="1">
      <c r="A28" s="651" t="s">
        <v>1468</v>
      </c>
      <c r="B28" s="658">
        <f>6183623.52</f>
        <v>6183623.52</v>
      </c>
      <c r="C28" s="658">
        <f>6176858.46</f>
        <v>6176858.46</v>
      </c>
      <c r="D28" s="658">
        <v>0</v>
      </c>
      <c r="E28" s="657">
        <v>0</v>
      </c>
      <c r="F28" s="658">
        <v>6765.06</v>
      </c>
      <c r="G28" s="657">
        <f>C28+D28-E28-F28</f>
        <v>6170093.4</v>
      </c>
      <c r="H28" s="636"/>
      <c r="I28" s="636"/>
    </row>
    <row r="29" spans="1:9" ht="12.75" customHeight="1">
      <c r="A29" s="651"/>
      <c r="B29" s="658"/>
      <c r="C29" s="658"/>
      <c r="D29" s="658"/>
      <c r="E29" s="657"/>
      <c r="F29" s="658"/>
      <c r="G29" s="657"/>
      <c r="H29" s="636"/>
      <c r="I29" s="636"/>
    </row>
    <row r="30" spans="1:9" ht="12.75" customHeight="1">
      <c r="A30" s="651" t="s">
        <v>1469</v>
      </c>
      <c r="B30" s="658"/>
      <c r="C30" s="658"/>
      <c r="D30" s="658"/>
      <c r="E30" s="657"/>
      <c r="F30" s="658"/>
      <c r="G30" s="657"/>
      <c r="H30" s="636"/>
      <c r="I30" s="636"/>
    </row>
    <row r="31" spans="1:9" ht="12.75" customHeight="1">
      <c r="A31" s="651" t="s">
        <v>1470</v>
      </c>
      <c r="B31" s="658">
        <v>4980000</v>
      </c>
      <c r="C31" s="658">
        <v>4980000</v>
      </c>
      <c r="D31" s="658">
        <v>0</v>
      </c>
      <c r="E31" s="657">
        <v>0</v>
      </c>
      <c r="F31" s="658">
        <v>0</v>
      </c>
      <c r="G31" s="657">
        <f>C31+D31-E31-F31</f>
        <v>4980000</v>
      </c>
      <c r="H31" s="636"/>
      <c r="I31" s="636"/>
    </row>
    <row r="32" spans="1:9" ht="12.75" customHeight="1">
      <c r="A32" s="651"/>
      <c r="B32" s="658"/>
      <c r="C32" s="658"/>
      <c r="D32" s="658"/>
      <c r="E32" s="657"/>
      <c r="F32" s="658"/>
      <c r="G32" s="657"/>
      <c r="H32" s="636"/>
      <c r="I32" s="636"/>
    </row>
    <row r="33" spans="1:9" ht="12.75" customHeight="1">
      <c r="A33" s="651" t="s">
        <v>1471</v>
      </c>
      <c r="B33" s="658"/>
      <c r="C33" s="658"/>
      <c r="D33" s="658"/>
      <c r="E33" s="657"/>
      <c r="F33" s="658"/>
      <c r="G33" s="657"/>
      <c r="H33" s="636"/>
      <c r="I33" s="636"/>
    </row>
    <row r="34" spans="1:9" ht="12.75" customHeight="1">
      <c r="A34" s="651" t="s">
        <v>1472</v>
      </c>
      <c r="B34" s="658">
        <v>0</v>
      </c>
      <c r="C34" s="658">
        <v>0</v>
      </c>
      <c r="D34" s="658">
        <v>4015000</v>
      </c>
      <c r="E34" s="657">
        <v>0</v>
      </c>
      <c r="F34" s="658">
        <v>0</v>
      </c>
      <c r="G34" s="657">
        <f>C34+D34-E34-F34</f>
        <v>4015000</v>
      </c>
      <c r="H34" s="636"/>
      <c r="I34" s="636"/>
    </row>
    <row r="35" spans="1:9" ht="12.75" customHeight="1">
      <c r="A35" s="651"/>
      <c r="B35" s="658"/>
      <c r="C35" s="658"/>
      <c r="D35" s="658"/>
      <c r="E35" s="657"/>
      <c r="F35" s="658"/>
      <c r="G35" s="657"/>
      <c r="H35" s="636"/>
      <c r="I35" s="636"/>
    </row>
    <row r="36" spans="1:9" ht="12.75" customHeight="1">
      <c r="A36" s="651" t="s">
        <v>1471</v>
      </c>
      <c r="B36" s="658"/>
      <c r="C36" s="658"/>
      <c r="D36" s="658"/>
      <c r="E36" s="657"/>
      <c r="F36" s="658"/>
      <c r="G36" s="657"/>
      <c r="H36" s="636"/>
      <c r="I36" s="636"/>
    </row>
    <row r="37" spans="1:9" ht="12.75" customHeight="1">
      <c r="A37" s="651" t="s">
        <v>1473</v>
      </c>
      <c r="B37" s="658">
        <v>0</v>
      </c>
      <c r="C37" s="658">
        <v>0</v>
      </c>
      <c r="D37" s="658">
        <v>4824024.66</v>
      </c>
      <c r="E37" s="657">
        <v>0</v>
      </c>
      <c r="F37" s="658">
        <v>0</v>
      </c>
      <c r="G37" s="657">
        <f>C37+D37-E37-F37</f>
        <v>4824024.66</v>
      </c>
      <c r="H37" s="636"/>
      <c r="I37" s="636"/>
    </row>
    <row r="38" spans="1:9" ht="12.75" customHeight="1">
      <c r="A38" s="651"/>
      <c r="B38" s="658"/>
      <c r="C38" s="658"/>
      <c r="D38" s="658"/>
      <c r="E38" s="657"/>
      <c r="F38" s="658"/>
      <c r="G38" s="657"/>
      <c r="H38" s="636"/>
      <c r="I38" s="636"/>
    </row>
    <row r="39" spans="1:9" ht="12.75" customHeight="1">
      <c r="A39" s="651" t="s">
        <v>1474</v>
      </c>
      <c r="B39" s="658">
        <v>0</v>
      </c>
      <c r="C39" s="658">
        <v>-60490.7</v>
      </c>
      <c r="D39" s="658">
        <f>119148.68+3579.57+57742.07+1733.71</f>
        <v>182204.03</v>
      </c>
      <c r="E39" s="657">
        <v>44119</v>
      </c>
      <c r="F39" s="658">
        <f>3590.88-3579.57-1733.71+811.46</f>
        <v>-910.94</v>
      </c>
      <c r="G39" s="657">
        <f>SUM(C39:F39)</f>
        <v>164921.39</v>
      </c>
      <c r="H39" s="636"/>
      <c r="I39" s="636"/>
    </row>
    <row r="40" spans="1:9" ht="12.75" customHeight="1">
      <c r="A40" s="651" t="s">
        <v>1475</v>
      </c>
      <c r="B40" s="658">
        <v>0</v>
      </c>
      <c r="C40" s="658">
        <v>-249292.22</v>
      </c>
      <c r="D40" s="658">
        <v>0</v>
      </c>
      <c r="E40" s="657">
        <v>-142493</v>
      </c>
      <c r="F40" s="658">
        <f>57484.75+4156.04</f>
        <v>61640.79</v>
      </c>
      <c r="G40" s="657">
        <f>SUM(C40:F40)</f>
        <v>-330144.43</v>
      </c>
      <c r="H40" s="636"/>
      <c r="I40" s="636"/>
    </row>
    <row r="41" spans="1:9" ht="12.75" customHeight="1">
      <c r="A41" s="651"/>
      <c r="B41" s="657"/>
      <c r="C41" s="657"/>
      <c r="D41" s="657"/>
      <c r="E41" s="657"/>
      <c r="F41" s="658"/>
      <c r="G41" s="657"/>
      <c r="H41" s="636"/>
      <c r="I41" s="636"/>
    </row>
    <row r="42" spans="1:9" s="663" customFormat="1" ht="12.75" customHeight="1">
      <c r="A42" s="659" t="s">
        <v>1476</v>
      </c>
      <c r="B42" s="660">
        <f aca="true" t="shared" si="0" ref="B42:G42">SUM(B10:B41)</f>
        <v>75272401.03</v>
      </c>
      <c r="C42" s="660">
        <f t="shared" si="0"/>
        <v>64629224.010000005</v>
      </c>
      <c r="D42" s="661">
        <f t="shared" si="0"/>
        <v>3971228.69</v>
      </c>
      <c r="E42" s="661">
        <f t="shared" si="0"/>
        <v>-4882724.19</v>
      </c>
      <c r="F42" s="661">
        <f t="shared" si="0"/>
        <v>1249780.9400000002</v>
      </c>
      <c r="G42" s="660">
        <f t="shared" si="0"/>
        <v>62589407.27</v>
      </c>
      <c r="H42" s="662"/>
      <c r="I42" s="662"/>
    </row>
    <row r="43" spans="1:9" ht="12.75" customHeight="1">
      <c r="A43" s="664"/>
      <c r="B43" s="665"/>
      <c r="C43" s="665"/>
      <c r="D43" s="665"/>
      <c r="E43" s="665"/>
      <c r="F43" s="630"/>
      <c r="G43" s="666"/>
      <c r="H43" s="636"/>
      <c r="I43" s="636"/>
    </row>
    <row r="44" spans="1:9" ht="12.75" customHeight="1">
      <c r="A44" s="665"/>
      <c r="B44" s="665"/>
      <c r="C44" s="665"/>
      <c r="D44" s="665"/>
      <c r="E44" s="665"/>
      <c r="F44" s="667"/>
      <c r="G44" s="666"/>
      <c r="H44" s="636"/>
      <c r="I44" s="636"/>
    </row>
    <row r="45" ht="12.75" customHeight="1">
      <c r="F45" s="668"/>
    </row>
    <row r="46" ht="12.75" customHeight="1">
      <c r="F46" s="670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B2">
      <selection activeCell="B7" sqref="B7"/>
    </sheetView>
  </sheetViews>
  <sheetFormatPr defaultColWidth="9.140625" defaultRowHeight="12.75" outlineLevelRow="1"/>
  <cols>
    <col min="1" max="1" width="0" style="541" hidden="1" customWidth="1"/>
    <col min="2" max="2" width="80.7109375" style="541" customWidth="1"/>
    <col min="3" max="3" width="19.7109375" style="541" hidden="1" customWidth="1"/>
    <col min="4" max="6" width="20.7109375" style="671" customWidth="1"/>
    <col min="7" max="7" width="20.7109375" style="672" customWidth="1"/>
    <col min="8" max="8" width="9.140625" style="541" customWidth="1"/>
    <col min="9" max="24" width="0" style="541" hidden="1" customWidth="1"/>
    <col min="25" max="16384" width="9.140625" style="541" customWidth="1"/>
  </cols>
  <sheetData>
    <row r="1" spans="1:7" ht="12.75" hidden="1">
      <c r="A1" s="541" t="s">
        <v>567</v>
      </c>
      <c r="B1" s="541" t="s">
        <v>1391</v>
      </c>
      <c r="C1" s="541" t="s">
        <v>1477</v>
      </c>
      <c r="D1" s="671" t="s">
        <v>1478</v>
      </c>
      <c r="E1" s="671" t="s">
        <v>1479</v>
      </c>
      <c r="F1" s="671" t="s">
        <v>1480</v>
      </c>
      <c r="G1" s="672" t="s">
        <v>1488</v>
      </c>
    </row>
    <row r="2" spans="2:22" s="129" customFormat="1" ht="15.75" customHeight="1">
      <c r="B2" s="673" t="str">
        <f>"University of Missouri - "&amp;V4</f>
        <v>University of Missouri - St. Louis</v>
      </c>
      <c r="C2" s="674"/>
      <c r="D2" s="430"/>
      <c r="E2" s="430"/>
      <c r="F2" s="430"/>
      <c r="G2" s="675"/>
      <c r="I2" s="129" t="s">
        <v>1657</v>
      </c>
      <c r="V2" s="129" t="s">
        <v>1481</v>
      </c>
    </row>
    <row r="3" spans="2:22" s="129" customFormat="1" ht="15.75" customHeight="1">
      <c r="B3" s="676" t="s">
        <v>1482</v>
      </c>
      <c r="C3" s="677"/>
      <c r="D3" s="495"/>
      <c r="E3" s="495"/>
      <c r="F3" s="495"/>
      <c r="G3" s="678"/>
      <c r="V3" s="129" t="s">
        <v>1483</v>
      </c>
    </row>
    <row r="4" spans="2:22" ht="15.75" customHeight="1">
      <c r="B4" s="679" t="str">
        <f>"As of "&amp;TEXT(I5,"MMMM DD, YYY")</f>
        <v>As of June 30, 2004</v>
      </c>
      <c r="C4" s="680"/>
      <c r="D4" s="441"/>
      <c r="E4" s="441"/>
      <c r="F4" s="441"/>
      <c r="G4" s="681"/>
      <c r="V4" s="541" t="s">
        <v>1657</v>
      </c>
    </row>
    <row r="5" spans="2:22" ht="12.75" customHeight="1">
      <c r="B5" s="682"/>
      <c r="C5" s="440"/>
      <c r="D5" s="441"/>
      <c r="E5" s="441"/>
      <c r="F5" s="441"/>
      <c r="G5" s="681"/>
      <c r="I5" s="541" t="s">
        <v>1656</v>
      </c>
      <c r="V5" s="683" t="s">
        <v>1656</v>
      </c>
    </row>
    <row r="6" spans="1:7" s="169" customFormat="1" ht="30" customHeight="1">
      <c r="A6" s="169" t="s">
        <v>1487</v>
      </c>
      <c r="B6" s="684" t="s">
        <v>1484</v>
      </c>
      <c r="C6" s="685" t="s">
        <v>1485</v>
      </c>
      <c r="D6" s="453" t="s">
        <v>751</v>
      </c>
      <c r="E6" s="453" t="s">
        <v>212</v>
      </c>
      <c r="F6" s="453" t="s">
        <v>213</v>
      </c>
      <c r="G6" s="686" t="s">
        <v>214</v>
      </c>
    </row>
    <row r="7" spans="2:7" s="169" customFormat="1" ht="12.75" customHeight="1">
      <c r="B7" s="684"/>
      <c r="C7" s="685"/>
      <c r="D7" s="453"/>
      <c r="E7" s="453"/>
      <c r="F7" s="453"/>
      <c r="G7" s="686"/>
    </row>
    <row r="8" spans="1:7" ht="12.75" outlineLevel="1">
      <c r="A8" s="541" t="s">
        <v>215</v>
      </c>
      <c r="B8" s="419" t="s">
        <v>216</v>
      </c>
      <c r="C8" s="419" t="s">
        <v>217</v>
      </c>
      <c r="D8" s="687">
        <v>0</v>
      </c>
      <c r="E8" s="687">
        <v>2910</v>
      </c>
      <c r="F8" s="687">
        <v>0</v>
      </c>
      <c r="G8" s="687">
        <f aca="true" t="shared" si="0" ref="G8:G43">(D8+E8-F8)</f>
        <v>2910</v>
      </c>
    </row>
    <row r="9" spans="1:7" ht="12.75" outlineLevel="1">
      <c r="A9" s="541" t="s">
        <v>218</v>
      </c>
      <c r="B9" s="419" t="s">
        <v>219</v>
      </c>
      <c r="C9" s="419" t="s">
        <v>220</v>
      </c>
      <c r="D9" s="473">
        <v>377674</v>
      </c>
      <c r="E9" s="473">
        <v>45664.12</v>
      </c>
      <c r="F9" s="473">
        <v>0</v>
      </c>
      <c r="G9" s="473">
        <f t="shared" si="0"/>
        <v>423338.12</v>
      </c>
    </row>
    <row r="10" spans="1:7" ht="12.75" outlineLevel="1">
      <c r="A10" s="541" t="s">
        <v>221</v>
      </c>
      <c r="B10" s="525" t="s">
        <v>222</v>
      </c>
      <c r="C10" s="419" t="s">
        <v>223</v>
      </c>
      <c r="D10" s="473">
        <v>1712.26</v>
      </c>
      <c r="E10" s="473">
        <v>19218.2</v>
      </c>
      <c r="F10" s="473">
        <v>1525</v>
      </c>
      <c r="G10" s="473">
        <f t="shared" si="0"/>
        <v>19405.46</v>
      </c>
    </row>
    <row r="11" spans="1:7" ht="12.75" outlineLevel="1">
      <c r="A11" s="541" t="s">
        <v>224</v>
      </c>
      <c r="B11" s="688" t="s">
        <v>225</v>
      </c>
      <c r="C11" s="445" t="s">
        <v>226</v>
      </c>
      <c r="D11" s="473">
        <v>20</v>
      </c>
      <c r="E11" s="473">
        <v>-1120</v>
      </c>
      <c r="F11" s="473">
        <v>0</v>
      </c>
      <c r="G11" s="473">
        <f t="shared" si="0"/>
        <v>-1100</v>
      </c>
    </row>
    <row r="12" spans="1:7" ht="12.75" outlineLevel="1">
      <c r="A12" s="541" t="s">
        <v>227</v>
      </c>
      <c r="B12" s="688" t="s">
        <v>228</v>
      </c>
      <c r="C12" s="445" t="s">
        <v>229</v>
      </c>
      <c r="D12" s="473">
        <v>11000</v>
      </c>
      <c r="E12" s="473">
        <v>283000</v>
      </c>
      <c r="F12" s="473">
        <v>279000</v>
      </c>
      <c r="G12" s="473">
        <f t="shared" si="0"/>
        <v>15000</v>
      </c>
    </row>
    <row r="13" spans="1:7" ht="12.75" outlineLevel="1">
      <c r="A13" s="541" t="s">
        <v>230</v>
      </c>
      <c r="B13" s="688" t="s">
        <v>231</v>
      </c>
      <c r="C13" s="445" t="s">
        <v>232</v>
      </c>
      <c r="D13" s="473">
        <v>18774</v>
      </c>
      <c r="E13" s="473">
        <v>506250</v>
      </c>
      <c r="F13" s="473">
        <v>513750</v>
      </c>
      <c r="G13" s="473">
        <f t="shared" si="0"/>
        <v>11274</v>
      </c>
    </row>
    <row r="14" spans="1:7" ht="12.75" outlineLevel="1">
      <c r="A14" s="541" t="s">
        <v>233</v>
      </c>
      <c r="B14" s="688" t="s">
        <v>234</v>
      </c>
      <c r="C14" s="445" t="s">
        <v>235</v>
      </c>
      <c r="D14" s="473">
        <v>40300</v>
      </c>
      <c r="E14" s="473">
        <v>149400</v>
      </c>
      <c r="F14" s="473">
        <v>143500</v>
      </c>
      <c r="G14" s="473">
        <f t="shared" si="0"/>
        <v>46200</v>
      </c>
    </row>
    <row r="15" spans="1:7" ht="12.75" outlineLevel="1">
      <c r="A15" s="541" t="s">
        <v>236</v>
      </c>
      <c r="B15" s="688" t="s">
        <v>237</v>
      </c>
      <c r="C15" s="445" t="s">
        <v>238</v>
      </c>
      <c r="D15" s="473">
        <v>4550</v>
      </c>
      <c r="E15" s="473">
        <v>0</v>
      </c>
      <c r="F15" s="473">
        <v>0</v>
      </c>
      <c r="G15" s="473">
        <f t="shared" si="0"/>
        <v>4550</v>
      </c>
    </row>
    <row r="16" spans="1:7" ht="12.75" outlineLevel="1">
      <c r="A16" s="541" t="s">
        <v>239</v>
      </c>
      <c r="B16" s="688" t="s">
        <v>240</v>
      </c>
      <c r="C16" s="445" t="s">
        <v>241</v>
      </c>
      <c r="D16" s="473">
        <v>9750</v>
      </c>
      <c r="E16" s="473">
        <v>6000</v>
      </c>
      <c r="F16" s="473">
        <v>5750</v>
      </c>
      <c r="G16" s="473">
        <f t="shared" si="0"/>
        <v>10000</v>
      </c>
    </row>
    <row r="17" spans="1:7" ht="12.75" outlineLevel="1">
      <c r="A17" s="541" t="s">
        <v>242</v>
      </c>
      <c r="B17" s="688" t="s">
        <v>243</v>
      </c>
      <c r="C17" s="445" t="s">
        <v>244</v>
      </c>
      <c r="D17" s="473">
        <v>16861</v>
      </c>
      <c r="E17" s="473">
        <v>254099</v>
      </c>
      <c r="F17" s="473">
        <v>249203</v>
      </c>
      <c r="G17" s="473">
        <f t="shared" si="0"/>
        <v>21757</v>
      </c>
    </row>
    <row r="18" spans="1:7" ht="12.75" outlineLevel="1">
      <c r="A18" s="541" t="s">
        <v>245</v>
      </c>
      <c r="B18" s="688" t="s">
        <v>246</v>
      </c>
      <c r="C18" s="445" t="s">
        <v>247</v>
      </c>
      <c r="D18" s="473">
        <v>12174</v>
      </c>
      <c r="E18" s="473">
        <v>195438</v>
      </c>
      <c r="F18" s="473">
        <v>207269</v>
      </c>
      <c r="G18" s="473">
        <f t="shared" si="0"/>
        <v>343</v>
      </c>
    </row>
    <row r="19" spans="1:7" ht="12.75" outlineLevel="1">
      <c r="A19" s="541" t="s">
        <v>248</v>
      </c>
      <c r="B19" s="688" t="s">
        <v>249</v>
      </c>
      <c r="C19" s="445" t="s">
        <v>250</v>
      </c>
      <c r="D19" s="473">
        <v>-1728</v>
      </c>
      <c r="E19" s="473">
        <v>0</v>
      </c>
      <c r="F19" s="473">
        <v>0</v>
      </c>
      <c r="G19" s="473">
        <f t="shared" si="0"/>
        <v>-1728</v>
      </c>
    </row>
    <row r="20" spans="1:7" ht="12.75" outlineLevel="1">
      <c r="A20" s="541" t="s">
        <v>251</v>
      </c>
      <c r="B20" s="688" t="s">
        <v>252</v>
      </c>
      <c r="C20" s="445" t="s">
        <v>253</v>
      </c>
      <c r="D20" s="473">
        <v>750</v>
      </c>
      <c r="E20" s="473">
        <v>27750</v>
      </c>
      <c r="F20" s="473">
        <v>28500</v>
      </c>
      <c r="G20" s="473">
        <f t="shared" si="0"/>
        <v>0</v>
      </c>
    </row>
    <row r="21" spans="1:7" ht="12.75" outlineLevel="1">
      <c r="A21" s="541" t="s">
        <v>254</v>
      </c>
      <c r="B21" s="688" t="s">
        <v>255</v>
      </c>
      <c r="C21" s="445" t="s">
        <v>256</v>
      </c>
      <c r="D21" s="473">
        <v>-1689</v>
      </c>
      <c r="E21" s="473">
        <v>0</v>
      </c>
      <c r="F21" s="473">
        <v>0</v>
      </c>
      <c r="G21" s="473">
        <f t="shared" si="0"/>
        <v>-1689</v>
      </c>
    </row>
    <row r="22" spans="1:7" ht="12.75" outlineLevel="1">
      <c r="A22" s="541" t="s">
        <v>257</v>
      </c>
      <c r="B22" s="688" t="s">
        <v>258</v>
      </c>
      <c r="C22" s="445" t="s">
        <v>259</v>
      </c>
      <c r="D22" s="473">
        <v>10216</v>
      </c>
      <c r="E22" s="473">
        <v>0</v>
      </c>
      <c r="F22" s="473">
        <v>0</v>
      </c>
      <c r="G22" s="473">
        <f t="shared" si="0"/>
        <v>10216</v>
      </c>
    </row>
    <row r="23" spans="1:7" ht="12.75" outlineLevel="1">
      <c r="A23" s="541" t="s">
        <v>260</v>
      </c>
      <c r="B23" s="688" t="s">
        <v>261</v>
      </c>
      <c r="C23" s="445" t="s">
        <v>262</v>
      </c>
      <c r="D23" s="473">
        <v>124345</v>
      </c>
      <c r="E23" s="473">
        <v>2060499.76</v>
      </c>
      <c r="F23" s="473">
        <v>1961532.76</v>
      </c>
      <c r="G23" s="473">
        <f t="shared" si="0"/>
        <v>223311.99999999977</v>
      </c>
    </row>
    <row r="24" spans="1:7" ht="12.75" outlineLevel="1">
      <c r="A24" s="541" t="s">
        <v>263</v>
      </c>
      <c r="B24" s="688" t="s">
        <v>264</v>
      </c>
      <c r="C24" s="445" t="s">
        <v>265</v>
      </c>
      <c r="D24" s="473">
        <v>389820</v>
      </c>
      <c r="E24" s="473">
        <v>772796</v>
      </c>
      <c r="F24" s="473">
        <v>1162150</v>
      </c>
      <c r="G24" s="473">
        <f t="shared" si="0"/>
        <v>466</v>
      </c>
    </row>
    <row r="25" spans="1:7" ht="12.75" outlineLevel="1">
      <c r="A25" s="541" t="s">
        <v>266</v>
      </c>
      <c r="B25" s="688" t="s">
        <v>267</v>
      </c>
      <c r="C25" s="445" t="s">
        <v>268</v>
      </c>
      <c r="D25" s="473">
        <v>392885</v>
      </c>
      <c r="E25" s="473">
        <v>830490</v>
      </c>
      <c r="F25" s="473">
        <v>1230454</v>
      </c>
      <c r="G25" s="473">
        <f t="shared" si="0"/>
        <v>-7079</v>
      </c>
    </row>
    <row r="26" spans="1:7" ht="12.75" outlineLevel="1">
      <c r="A26" s="541" t="s">
        <v>269</v>
      </c>
      <c r="B26" s="688" t="s">
        <v>270</v>
      </c>
      <c r="C26" s="445" t="s">
        <v>271</v>
      </c>
      <c r="D26" s="473">
        <v>26851.54</v>
      </c>
      <c r="E26" s="473">
        <v>23076.3</v>
      </c>
      <c r="F26" s="473">
        <v>49927.84</v>
      </c>
      <c r="G26" s="473">
        <f t="shared" si="0"/>
        <v>0</v>
      </c>
    </row>
    <row r="27" spans="1:7" ht="12.75" outlineLevel="1">
      <c r="A27" s="541" t="s">
        <v>272</v>
      </c>
      <c r="B27" s="688" t="s">
        <v>273</v>
      </c>
      <c r="C27" s="445" t="s">
        <v>274</v>
      </c>
      <c r="D27" s="473">
        <v>25092</v>
      </c>
      <c r="E27" s="473">
        <v>109317</v>
      </c>
      <c r="F27" s="473">
        <v>147180</v>
      </c>
      <c r="G27" s="473">
        <f t="shared" si="0"/>
        <v>-12771</v>
      </c>
    </row>
    <row r="28" spans="1:7" ht="12.75" outlineLevel="1">
      <c r="A28" s="541" t="s">
        <v>275</v>
      </c>
      <c r="B28" s="688" t="s">
        <v>276</v>
      </c>
      <c r="C28" s="445" t="s">
        <v>277</v>
      </c>
      <c r="D28" s="473">
        <v>21093</v>
      </c>
      <c r="E28" s="473">
        <v>199921</v>
      </c>
      <c r="F28" s="473">
        <v>247529</v>
      </c>
      <c r="G28" s="473">
        <f t="shared" si="0"/>
        <v>-26515</v>
      </c>
    </row>
    <row r="29" spans="1:7" ht="12.75" outlineLevel="1">
      <c r="A29" s="541" t="s">
        <v>278</v>
      </c>
      <c r="B29" s="688" t="s">
        <v>279</v>
      </c>
      <c r="C29" s="445" t="s">
        <v>280</v>
      </c>
      <c r="D29" s="473">
        <v>8936</v>
      </c>
      <c r="E29" s="473">
        <v>67427</v>
      </c>
      <c r="F29" s="473">
        <v>66024</v>
      </c>
      <c r="G29" s="473">
        <f t="shared" si="0"/>
        <v>10339</v>
      </c>
    </row>
    <row r="30" spans="1:7" ht="12.75" outlineLevel="1">
      <c r="A30" s="541" t="s">
        <v>281</v>
      </c>
      <c r="B30" s="688" t="s">
        <v>282</v>
      </c>
      <c r="C30" s="445" t="s">
        <v>283</v>
      </c>
      <c r="D30" s="473">
        <v>-2975</v>
      </c>
      <c r="E30" s="473">
        <v>49419.33</v>
      </c>
      <c r="F30" s="473">
        <v>37293.64</v>
      </c>
      <c r="G30" s="473">
        <f t="shared" si="0"/>
        <v>9150.690000000002</v>
      </c>
    </row>
    <row r="31" spans="1:7" ht="12.75" outlineLevel="1">
      <c r="A31" s="541" t="s">
        <v>284</v>
      </c>
      <c r="B31" s="688" t="s">
        <v>285</v>
      </c>
      <c r="C31" s="445" t="s">
        <v>286</v>
      </c>
      <c r="D31" s="473">
        <v>0</v>
      </c>
      <c r="E31" s="473">
        <v>2592049.24</v>
      </c>
      <c r="F31" s="473">
        <v>2584369.75</v>
      </c>
      <c r="G31" s="473">
        <f t="shared" si="0"/>
        <v>7679.4900000002235</v>
      </c>
    </row>
    <row r="32" spans="1:7" ht="12.75" outlineLevel="1">
      <c r="A32" s="541" t="s">
        <v>287</v>
      </c>
      <c r="B32" s="688" t="s">
        <v>288</v>
      </c>
      <c r="C32" s="445" t="s">
        <v>289</v>
      </c>
      <c r="D32" s="473">
        <v>0</v>
      </c>
      <c r="E32" s="473">
        <v>23907858.68</v>
      </c>
      <c r="F32" s="473">
        <v>23604178.79</v>
      </c>
      <c r="G32" s="473">
        <f t="shared" si="0"/>
        <v>303679.8900000006</v>
      </c>
    </row>
    <row r="33" spans="1:7" ht="12.75" outlineLevel="1">
      <c r="A33" s="541" t="s">
        <v>290</v>
      </c>
      <c r="B33" s="688" t="s">
        <v>291</v>
      </c>
      <c r="C33" s="445" t="s">
        <v>292</v>
      </c>
      <c r="D33" s="473">
        <v>0</v>
      </c>
      <c r="E33" s="473">
        <v>21154966.68</v>
      </c>
      <c r="F33" s="473">
        <v>20600633.02</v>
      </c>
      <c r="G33" s="473">
        <f t="shared" si="0"/>
        <v>554333.6600000001</v>
      </c>
    </row>
    <row r="34" spans="1:7" ht="12.75" outlineLevel="1">
      <c r="A34" s="541" t="s">
        <v>293</v>
      </c>
      <c r="B34" s="688" t="s">
        <v>294</v>
      </c>
      <c r="C34" s="445" t="s">
        <v>295</v>
      </c>
      <c r="D34" s="473">
        <v>20</v>
      </c>
      <c r="E34" s="473">
        <v>120</v>
      </c>
      <c r="F34" s="473">
        <v>70</v>
      </c>
      <c r="G34" s="473">
        <f t="shared" si="0"/>
        <v>70</v>
      </c>
    </row>
    <row r="35" spans="1:7" ht="12.75" outlineLevel="1">
      <c r="A35" s="541" t="s">
        <v>296</v>
      </c>
      <c r="B35" s="688" t="s">
        <v>297</v>
      </c>
      <c r="C35" s="445" t="s">
        <v>298</v>
      </c>
      <c r="D35" s="473">
        <v>14340.37</v>
      </c>
      <c r="E35" s="473">
        <v>52</v>
      </c>
      <c r="F35" s="473">
        <v>0</v>
      </c>
      <c r="G35" s="473">
        <f t="shared" si="0"/>
        <v>14392.37</v>
      </c>
    </row>
    <row r="36" spans="1:7" ht="12.75" outlineLevel="1">
      <c r="A36" s="541" t="s">
        <v>299</v>
      </c>
      <c r="B36" s="688" t="s">
        <v>300</v>
      </c>
      <c r="C36" s="445" t="s">
        <v>301</v>
      </c>
      <c r="D36" s="473">
        <v>17785.5</v>
      </c>
      <c r="E36" s="473">
        <v>428741.54</v>
      </c>
      <c r="F36" s="473">
        <v>419913.42</v>
      </c>
      <c r="G36" s="473">
        <f t="shared" si="0"/>
        <v>26613.619999999995</v>
      </c>
    </row>
    <row r="37" spans="1:7" ht="12.75" outlineLevel="1">
      <c r="A37" s="541" t="s">
        <v>302</v>
      </c>
      <c r="B37" s="688" t="s">
        <v>303</v>
      </c>
      <c r="C37" s="445" t="s">
        <v>304</v>
      </c>
      <c r="D37" s="473">
        <v>24562.83</v>
      </c>
      <c r="E37" s="473">
        <v>0</v>
      </c>
      <c r="F37" s="473">
        <v>1094.46</v>
      </c>
      <c r="G37" s="473">
        <f t="shared" si="0"/>
        <v>23468.370000000003</v>
      </c>
    </row>
    <row r="38" spans="1:7" ht="12.75" outlineLevel="1">
      <c r="A38" s="541" t="s">
        <v>305</v>
      </c>
      <c r="B38" s="688" t="s">
        <v>306</v>
      </c>
      <c r="C38" s="445" t="s">
        <v>307</v>
      </c>
      <c r="D38" s="473">
        <v>28957.29</v>
      </c>
      <c r="E38" s="473">
        <v>0</v>
      </c>
      <c r="F38" s="473">
        <v>28957.29</v>
      </c>
      <c r="G38" s="473">
        <f t="shared" si="0"/>
        <v>0</v>
      </c>
    </row>
    <row r="39" spans="1:7" ht="12.75" outlineLevel="1">
      <c r="A39" s="541" t="s">
        <v>308</v>
      </c>
      <c r="B39" s="688" t="s">
        <v>309</v>
      </c>
      <c r="C39" s="445" t="s">
        <v>310</v>
      </c>
      <c r="D39" s="473">
        <v>-4150.03</v>
      </c>
      <c r="E39" s="473">
        <v>0</v>
      </c>
      <c r="F39" s="473">
        <v>0</v>
      </c>
      <c r="G39" s="473">
        <f t="shared" si="0"/>
        <v>-4150.03</v>
      </c>
    </row>
    <row r="40" spans="1:7" ht="12.75" outlineLevel="1">
      <c r="A40" s="541" t="s">
        <v>311</v>
      </c>
      <c r="B40" s="688" t="s">
        <v>312</v>
      </c>
      <c r="C40" s="445" t="s">
        <v>313</v>
      </c>
      <c r="D40" s="473">
        <v>9630.18</v>
      </c>
      <c r="E40" s="473">
        <v>130144.06</v>
      </c>
      <c r="F40" s="473">
        <v>62905.79</v>
      </c>
      <c r="G40" s="473">
        <f t="shared" si="0"/>
        <v>76868.44999999998</v>
      </c>
    </row>
    <row r="41" spans="1:7" ht="12.75" outlineLevel="1">
      <c r="A41" s="541" t="s">
        <v>314</v>
      </c>
      <c r="B41" s="688" t="s">
        <v>315</v>
      </c>
      <c r="C41" s="445" t="s">
        <v>316</v>
      </c>
      <c r="D41" s="473">
        <v>0</v>
      </c>
      <c r="E41" s="473">
        <v>330</v>
      </c>
      <c r="F41" s="473">
        <v>0</v>
      </c>
      <c r="G41" s="473">
        <f t="shared" si="0"/>
        <v>330</v>
      </c>
    </row>
    <row r="42" spans="1:7" ht="12.75" outlineLevel="1">
      <c r="A42" s="541" t="s">
        <v>317</v>
      </c>
      <c r="B42" s="688" t="s">
        <v>318</v>
      </c>
      <c r="C42" s="445" t="s">
        <v>319</v>
      </c>
      <c r="D42" s="473">
        <v>-1716.1</v>
      </c>
      <c r="E42" s="473">
        <v>-365</v>
      </c>
      <c r="F42" s="473">
        <v>0</v>
      </c>
      <c r="G42" s="473">
        <f t="shared" si="0"/>
        <v>-2081.1</v>
      </c>
    </row>
    <row r="43" spans="1:7" s="169" customFormat="1" ht="12.75">
      <c r="A43" s="169" t="s">
        <v>320</v>
      </c>
      <c r="B43" s="689" t="s">
        <v>321</v>
      </c>
      <c r="C43" s="536"/>
      <c r="D43" s="476">
        <f>SUM(D8:D42)</f>
        <v>1575841.84</v>
      </c>
      <c r="E43" s="476">
        <v>53815452.910000004</v>
      </c>
      <c r="F43" s="476">
        <v>53632710.76</v>
      </c>
      <c r="G43" s="476">
        <f t="shared" si="0"/>
        <v>1758583.9900000095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6"/>
  <sheetViews>
    <sheetView workbookViewId="0" topLeftCell="A1">
      <selection activeCell="A5" sqref="A5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6" customWidth="1"/>
    <col min="6" max="16384" width="8.00390625" style="56" customWidth="1"/>
  </cols>
  <sheetData>
    <row r="1" spans="1:5" s="53" customFormat="1" ht="15.75">
      <c r="A1" s="49" t="s">
        <v>1489</v>
      </c>
      <c r="B1" s="6"/>
      <c r="C1" s="50"/>
      <c r="D1" s="51"/>
      <c r="E1" s="52"/>
    </row>
    <row r="2" spans="1:5" ht="15.75">
      <c r="A2" s="54" t="s">
        <v>1540</v>
      </c>
      <c r="B2" s="12"/>
      <c r="C2" s="51"/>
      <c r="D2" s="51"/>
      <c r="E2" s="55"/>
    </row>
    <row r="3" spans="1:5" s="53" customFormat="1" ht="15.75">
      <c r="A3" s="54" t="s">
        <v>1541</v>
      </c>
      <c r="B3" s="12"/>
      <c r="C3" s="51"/>
      <c r="D3" s="51"/>
      <c r="E3" s="57"/>
    </row>
    <row r="4" spans="1:5" ht="12.75" customHeight="1">
      <c r="A4" s="17" t="s">
        <v>1492</v>
      </c>
      <c r="B4" s="18"/>
      <c r="C4" s="58"/>
      <c r="D4" s="51"/>
      <c r="E4" s="59"/>
    </row>
    <row r="5" spans="1:5" ht="12.75" customHeight="1">
      <c r="A5" s="60"/>
      <c r="B5" s="61"/>
      <c r="C5" s="62">
        <v>2004</v>
      </c>
      <c r="D5" s="63"/>
      <c r="E5" s="62">
        <v>2003</v>
      </c>
    </row>
    <row r="6" spans="1:5" ht="12.75" customHeight="1">
      <c r="A6" s="64" t="s">
        <v>1542</v>
      </c>
      <c r="B6" s="65"/>
      <c r="C6" s="66"/>
      <c r="D6" s="67"/>
      <c r="E6" s="68"/>
    </row>
    <row r="7" spans="1:5" s="69" customFormat="1" ht="12.75" customHeight="1">
      <c r="A7" s="30"/>
      <c r="B7" s="31" t="s">
        <v>1543</v>
      </c>
      <c r="C7" s="35">
        <v>71628</v>
      </c>
      <c r="D7" s="34"/>
      <c r="E7" s="35">
        <v>63375</v>
      </c>
    </row>
    <row r="8" spans="1:5" s="69" customFormat="1" ht="12.75" customHeight="1">
      <c r="A8" s="30"/>
      <c r="B8" s="31" t="s">
        <v>1544</v>
      </c>
      <c r="C8" s="37">
        <v>14211</v>
      </c>
      <c r="D8" s="70"/>
      <c r="E8" s="37">
        <v>13172</v>
      </c>
    </row>
    <row r="9" spans="1:5" s="72" customFormat="1" ht="12.75" customHeight="1">
      <c r="A9" s="23"/>
      <c r="B9" s="24" t="s">
        <v>1545</v>
      </c>
      <c r="C9" s="40">
        <f>C7-C8</f>
        <v>57417</v>
      </c>
      <c r="D9" s="71"/>
      <c r="E9" s="40">
        <f>E7-E8</f>
        <v>50203</v>
      </c>
    </row>
    <row r="10" spans="1:5" s="73" customFormat="1" ht="12.75" customHeight="1">
      <c r="A10" s="30"/>
      <c r="B10" s="31" t="s">
        <v>1546</v>
      </c>
      <c r="C10" s="37">
        <v>13918</v>
      </c>
      <c r="D10" s="70"/>
      <c r="E10" s="37">
        <v>16735</v>
      </c>
    </row>
    <row r="11" spans="1:5" s="73" customFormat="1" ht="12.75" customHeight="1">
      <c r="A11" s="30"/>
      <c r="B11" s="31" t="s">
        <v>1547</v>
      </c>
      <c r="C11" s="37">
        <v>3057</v>
      </c>
      <c r="D11" s="70"/>
      <c r="E11" s="37">
        <v>2265</v>
      </c>
    </row>
    <row r="12" spans="1:5" s="73" customFormat="1" ht="12.75" customHeight="1">
      <c r="A12" s="30"/>
      <c r="B12" s="31" t="s">
        <v>1548</v>
      </c>
      <c r="C12" s="37">
        <v>4740</v>
      </c>
      <c r="D12" s="70"/>
      <c r="E12" s="37">
        <v>4745</v>
      </c>
    </row>
    <row r="13" spans="1:5" s="73" customFormat="1" ht="12.75" customHeight="1">
      <c r="A13" s="30"/>
      <c r="B13" s="31" t="s">
        <v>1549</v>
      </c>
      <c r="C13" s="37">
        <v>737</v>
      </c>
      <c r="D13" s="70"/>
      <c r="E13" s="37">
        <v>782</v>
      </c>
    </row>
    <row r="14" spans="1:5" s="73" customFormat="1" ht="12.75" customHeight="1">
      <c r="A14" s="30"/>
      <c r="B14" s="31" t="s">
        <v>1550</v>
      </c>
      <c r="C14" s="37"/>
      <c r="D14" s="70"/>
      <c r="E14" s="37"/>
    </row>
    <row r="15" spans="1:5" s="73" customFormat="1" ht="12.75" customHeight="1">
      <c r="A15" s="30"/>
      <c r="B15" s="31" t="s">
        <v>1551</v>
      </c>
      <c r="C15" s="37">
        <v>2521</v>
      </c>
      <c r="D15" s="70"/>
      <c r="E15" s="37">
        <v>2672</v>
      </c>
    </row>
    <row r="16" spans="1:5" s="73" customFormat="1" ht="12.75" customHeight="1">
      <c r="A16" s="30"/>
      <c r="B16" s="31" t="s">
        <v>1552</v>
      </c>
      <c r="C16" s="37">
        <v>6952</v>
      </c>
      <c r="D16" s="70"/>
      <c r="E16" s="37">
        <v>6536</v>
      </c>
    </row>
    <row r="17" spans="1:5" s="73" customFormat="1" ht="12.75" customHeight="1">
      <c r="A17" s="30"/>
      <c r="B17" s="31" t="s">
        <v>1553</v>
      </c>
      <c r="C17" s="37">
        <v>13716</v>
      </c>
      <c r="D17" s="70"/>
      <c r="E17" s="37">
        <v>12961</v>
      </c>
    </row>
    <row r="18" spans="1:5" s="73" customFormat="1" ht="12.75" customHeight="1">
      <c r="A18" s="30"/>
      <c r="B18" s="31" t="s">
        <v>1554</v>
      </c>
      <c r="C18" s="37">
        <v>223</v>
      </c>
      <c r="D18" s="70"/>
      <c r="E18" s="37">
        <v>83</v>
      </c>
    </row>
    <row r="19" spans="1:5" s="73" customFormat="1" ht="12.75" customHeight="1">
      <c r="A19" s="30"/>
      <c r="B19" s="31" t="s">
        <v>1555</v>
      </c>
      <c r="C19" s="37">
        <v>2636</v>
      </c>
      <c r="D19" s="70"/>
      <c r="E19" s="37">
        <v>1605</v>
      </c>
    </row>
    <row r="20" spans="1:5" s="73" customFormat="1" ht="12.75" customHeight="1">
      <c r="A20" s="23"/>
      <c r="B20" s="65" t="s">
        <v>1556</v>
      </c>
      <c r="C20" s="40">
        <f>SUM(C9:C19)</f>
        <v>105917</v>
      </c>
      <c r="D20" s="71"/>
      <c r="E20" s="40">
        <f>SUM(E9:E19)</f>
        <v>98587</v>
      </c>
    </row>
    <row r="21" spans="1:5" ht="9.75" customHeight="1">
      <c r="A21" s="64"/>
      <c r="B21" s="65"/>
      <c r="C21" s="37"/>
      <c r="D21" s="70"/>
      <c r="E21" s="37"/>
    </row>
    <row r="22" spans="1:5" s="73" customFormat="1" ht="12.75" customHeight="1">
      <c r="A22" s="23" t="s">
        <v>1557</v>
      </c>
      <c r="B22" s="24"/>
      <c r="C22" s="37"/>
      <c r="D22" s="70"/>
      <c r="E22" s="37"/>
    </row>
    <row r="23" spans="1:5" s="73" customFormat="1" ht="12.75" customHeight="1">
      <c r="A23" s="30"/>
      <c r="B23" s="31" t="s">
        <v>1558</v>
      </c>
      <c r="C23" s="37">
        <v>82936</v>
      </c>
      <c r="D23" s="70"/>
      <c r="E23" s="37">
        <v>80687</v>
      </c>
    </row>
    <row r="24" spans="1:5" s="73" customFormat="1" ht="12.75" customHeight="1">
      <c r="A24" s="30"/>
      <c r="B24" s="31" t="s">
        <v>1559</v>
      </c>
      <c r="C24" s="37">
        <v>19331</v>
      </c>
      <c r="D24" s="70"/>
      <c r="E24" s="37">
        <v>14921</v>
      </c>
    </row>
    <row r="25" spans="1:5" s="73" customFormat="1" ht="12.75" customHeight="1">
      <c r="A25" s="30"/>
      <c r="B25" s="31" t="s">
        <v>1560</v>
      </c>
      <c r="C25" s="37">
        <v>46983</v>
      </c>
      <c r="D25" s="70"/>
      <c r="E25" s="37">
        <v>36683</v>
      </c>
    </row>
    <row r="26" spans="1:5" s="73" customFormat="1" ht="12.75" customHeight="1">
      <c r="A26" s="30"/>
      <c r="B26" s="31" t="s">
        <v>1561</v>
      </c>
      <c r="C26" s="37">
        <v>3836</v>
      </c>
      <c r="D26" s="70"/>
      <c r="E26" s="37">
        <v>3462</v>
      </c>
    </row>
    <row r="27" spans="1:5" s="73" customFormat="1" ht="12.75" customHeight="1">
      <c r="A27" s="30"/>
      <c r="B27" s="31" t="s">
        <v>1562</v>
      </c>
      <c r="C27" s="37">
        <v>7910</v>
      </c>
      <c r="D27" s="70"/>
      <c r="E27" s="37">
        <v>6159</v>
      </c>
    </row>
    <row r="28" spans="1:5" s="73" customFormat="1" ht="12.75" customHeight="1">
      <c r="A28" s="23"/>
      <c r="B28" s="65" t="s">
        <v>1563</v>
      </c>
      <c r="C28" s="40">
        <f>SUM(C23:C27)</f>
        <v>160996</v>
      </c>
      <c r="D28" s="71"/>
      <c r="E28" s="40">
        <f>SUM(E23:E27)</f>
        <v>141912</v>
      </c>
    </row>
    <row r="29" spans="1:5" ht="9.75" customHeight="1">
      <c r="A29" s="64"/>
      <c r="B29" s="65"/>
      <c r="C29" s="37"/>
      <c r="D29" s="70"/>
      <c r="E29" s="37"/>
    </row>
    <row r="30" spans="1:5" s="73" customFormat="1" ht="12.75" customHeight="1">
      <c r="A30" s="23" t="s">
        <v>1564</v>
      </c>
      <c r="B30" s="24"/>
      <c r="C30" s="37"/>
      <c r="D30" s="70"/>
      <c r="E30" s="37"/>
    </row>
    <row r="31" spans="1:5" s="73" customFormat="1" ht="12.75" customHeight="1">
      <c r="A31" s="23" t="s">
        <v>1565</v>
      </c>
      <c r="B31" s="74"/>
      <c r="C31" s="40">
        <f>C20-C28</f>
        <v>-55079</v>
      </c>
      <c r="D31" s="71"/>
      <c r="E31" s="40">
        <f>E20-E28</f>
        <v>-43325</v>
      </c>
    </row>
    <row r="32" spans="1:5" ht="9.75" customHeight="1">
      <c r="A32" s="64"/>
      <c r="B32" s="65"/>
      <c r="C32" s="37"/>
      <c r="D32" s="70"/>
      <c r="E32" s="37"/>
    </row>
    <row r="33" spans="1:5" s="73" customFormat="1" ht="12.75" customHeight="1">
      <c r="A33" s="30"/>
      <c r="B33" s="31" t="s">
        <v>1566</v>
      </c>
      <c r="C33" s="37">
        <v>46428</v>
      </c>
      <c r="D33" s="70"/>
      <c r="E33" s="37">
        <v>48337</v>
      </c>
    </row>
    <row r="34" spans="1:5" ht="9.75" customHeight="1">
      <c r="A34" s="64"/>
      <c r="B34" s="65"/>
      <c r="C34" s="37"/>
      <c r="D34" s="70"/>
      <c r="E34" s="37"/>
    </row>
    <row r="35" spans="1:5" s="73" customFormat="1" ht="12.75" customHeight="1">
      <c r="A35" s="23" t="s">
        <v>1567</v>
      </c>
      <c r="B35" s="24"/>
      <c r="C35" s="37"/>
      <c r="D35" s="70"/>
      <c r="E35" s="37"/>
    </row>
    <row r="36" spans="1:5" s="73" customFormat="1" ht="12.75" customHeight="1">
      <c r="A36" s="23" t="s">
        <v>1565</v>
      </c>
      <c r="B36" s="74"/>
      <c r="C36" s="40">
        <f>C31+C33</f>
        <v>-8651</v>
      </c>
      <c r="D36" s="71"/>
      <c r="E36" s="40">
        <f>E31+E33</f>
        <v>5012</v>
      </c>
    </row>
    <row r="37" spans="1:5" ht="9.75" customHeight="1">
      <c r="A37" s="64"/>
      <c r="B37" s="65"/>
      <c r="C37" s="37"/>
      <c r="D37" s="70"/>
      <c r="E37" s="37"/>
    </row>
    <row r="38" spans="1:5" s="73" customFormat="1" ht="12.75" customHeight="1">
      <c r="A38" s="23" t="s">
        <v>1568</v>
      </c>
      <c r="B38" s="24"/>
      <c r="C38" s="37"/>
      <c r="D38" s="70"/>
      <c r="E38" s="37"/>
    </row>
    <row r="39" spans="1:5" s="73" customFormat="1" ht="12.75" customHeight="1">
      <c r="A39" s="30"/>
      <c r="B39" s="31" t="s">
        <v>1569</v>
      </c>
      <c r="C39" s="37">
        <v>0</v>
      </c>
      <c r="D39" s="70"/>
      <c r="E39" s="37">
        <v>55</v>
      </c>
    </row>
    <row r="40" spans="1:5" s="73" customFormat="1" ht="12.75" customHeight="1">
      <c r="A40" s="30"/>
      <c r="B40" s="31" t="s">
        <v>1570</v>
      </c>
      <c r="C40" s="37">
        <v>6496</v>
      </c>
      <c r="D40" s="70"/>
      <c r="E40" s="37">
        <v>3165</v>
      </c>
    </row>
    <row r="41" spans="1:5" s="73" customFormat="1" ht="12.75" customHeight="1">
      <c r="A41" s="30"/>
      <c r="B41" s="31" t="s">
        <v>1571</v>
      </c>
      <c r="C41" s="37">
        <v>5059</v>
      </c>
      <c r="D41" s="70"/>
      <c r="E41" s="37">
        <v>6185</v>
      </c>
    </row>
    <row r="42" spans="1:5" s="73" customFormat="1" ht="12.75" customHeight="1">
      <c r="A42" s="30"/>
      <c r="B42" s="31" t="s">
        <v>1572</v>
      </c>
      <c r="C42" s="37">
        <v>-2861</v>
      </c>
      <c r="D42" s="70"/>
      <c r="E42" s="37">
        <v>-2848</v>
      </c>
    </row>
    <row r="43" spans="1:5" s="73" customFormat="1" ht="12.75" customHeight="1">
      <c r="A43" s="30"/>
      <c r="B43" s="31" t="s">
        <v>1573</v>
      </c>
      <c r="C43" s="37">
        <v>-558</v>
      </c>
      <c r="D43" s="70"/>
      <c r="E43" s="37">
        <v>-551</v>
      </c>
    </row>
    <row r="44" spans="1:5" ht="9.75" customHeight="1">
      <c r="A44" s="64"/>
      <c r="B44" s="65"/>
      <c r="C44" s="37"/>
      <c r="D44" s="70"/>
      <c r="E44" s="37"/>
    </row>
    <row r="45" spans="1:5" s="72" customFormat="1" ht="12.75" customHeight="1">
      <c r="A45" s="23"/>
      <c r="B45" s="24" t="s">
        <v>1574</v>
      </c>
      <c r="C45" s="40"/>
      <c r="D45" s="71"/>
      <c r="E45" s="40"/>
    </row>
    <row r="46" spans="1:5" s="72" customFormat="1" ht="12.75" customHeight="1">
      <c r="A46" s="23"/>
      <c r="B46" s="24" t="s">
        <v>1575</v>
      </c>
      <c r="C46" s="40">
        <f>SUM(C39:C43)</f>
        <v>8136</v>
      </c>
      <c r="D46" s="71"/>
      <c r="E46" s="40">
        <f>SUM(E39:E43)</f>
        <v>6006</v>
      </c>
    </row>
    <row r="47" spans="1:5" ht="9.75" customHeight="1">
      <c r="A47" s="64"/>
      <c r="B47" s="65"/>
      <c r="C47" s="37"/>
      <c r="D47" s="70"/>
      <c r="E47" s="37"/>
    </row>
    <row r="48" spans="1:5" s="73" customFormat="1" ht="12.75" customHeight="1">
      <c r="A48" s="30"/>
      <c r="B48" s="31" t="s">
        <v>1576</v>
      </c>
      <c r="C48" s="37">
        <v>0</v>
      </c>
      <c r="D48" s="70"/>
      <c r="E48" s="37">
        <v>899</v>
      </c>
    </row>
    <row r="49" spans="1:5" s="69" customFormat="1" ht="12.75" customHeight="1">
      <c r="A49" s="30"/>
      <c r="B49" s="31" t="s">
        <v>1577</v>
      </c>
      <c r="C49" s="37">
        <v>30</v>
      </c>
      <c r="D49" s="70"/>
      <c r="E49" s="37">
        <v>0</v>
      </c>
    </row>
    <row r="50" spans="1:5" s="69" customFormat="1" ht="12.75" customHeight="1">
      <c r="A50" s="30"/>
      <c r="B50" s="31" t="s">
        <v>1578</v>
      </c>
      <c r="C50" s="37">
        <v>2881</v>
      </c>
      <c r="D50" s="70"/>
      <c r="E50" s="37">
        <v>1055</v>
      </c>
    </row>
    <row r="51" spans="1:5" s="69" customFormat="1" ht="12.75" customHeight="1">
      <c r="A51" s="30"/>
      <c r="B51" s="31" t="s">
        <v>1579</v>
      </c>
      <c r="C51" s="37">
        <v>-21</v>
      </c>
      <c r="D51" s="70"/>
      <c r="E51" s="37">
        <v>40</v>
      </c>
    </row>
    <row r="52" spans="1:5" s="69" customFormat="1" ht="12.75" customHeight="1">
      <c r="A52" s="30"/>
      <c r="B52" s="31" t="s">
        <v>1580</v>
      </c>
      <c r="C52" s="37">
        <v>-1146</v>
      </c>
      <c r="D52" s="70"/>
      <c r="E52" s="37">
        <v>590</v>
      </c>
    </row>
    <row r="53" spans="1:5" s="69" customFormat="1" ht="12.75" customHeight="1">
      <c r="A53" s="30"/>
      <c r="B53" s="31" t="s">
        <v>1581</v>
      </c>
      <c r="C53" s="37">
        <v>754</v>
      </c>
      <c r="D53" s="70"/>
      <c r="E53" s="37">
        <v>0</v>
      </c>
    </row>
    <row r="54" spans="1:5" ht="9.75" customHeight="1">
      <c r="A54" s="64"/>
      <c r="B54" s="65"/>
      <c r="C54" s="37"/>
      <c r="D54" s="70"/>
      <c r="E54" s="37"/>
    </row>
    <row r="55" spans="1:5" s="69" customFormat="1" ht="12.75" customHeight="1">
      <c r="A55" s="23"/>
      <c r="B55" s="65" t="s">
        <v>1582</v>
      </c>
      <c r="C55" s="40">
        <f>SUM(C46:C53)</f>
        <v>10634</v>
      </c>
      <c r="D55" s="71"/>
      <c r="E55" s="40">
        <f>SUM(E46:E53)</f>
        <v>8590</v>
      </c>
    </row>
    <row r="56" spans="1:5" ht="9.75" customHeight="1">
      <c r="A56" s="64"/>
      <c r="B56" s="65"/>
      <c r="C56" s="37"/>
      <c r="D56" s="70"/>
      <c r="E56" s="37"/>
    </row>
    <row r="57" spans="1:5" s="69" customFormat="1" ht="12.75" customHeight="1">
      <c r="A57" s="23"/>
      <c r="B57" s="24" t="s">
        <v>1583</v>
      </c>
      <c r="C57" s="40">
        <f>C36+C55</f>
        <v>1983</v>
      </c>
      <c r="D57" s="71"/>
      <c r="E57" s="40">
        <f>E36+E55</f>
        <v>13602</v>
      </c>
    </row>
    <row r="58" spans="1:5" ht="9.75" customHeight="1">
      <c r="A58" s="64"/>
      <c r="B58" s="65"/>
      <c r="C58" s="37"/>
      <c r="D58" s="70"/>
      <c r="E58" s="37"/>
    </row>
    <row r="59" spans="1:5" s="75" customFormat="1" ht="12.75" customHeight="1">
      <c r="A59" s="27" t="s">
        <v>1584</v>
      </c>
      <c r="C59" s="40">
        <v>262500</v>
      </c>
      <c r="D59" s="71"/>
      <c r="E59" s="40">
        <v>248898</v>
      </c>
    </row>
    <row r="60" spans="1:5" ht="9.75" customHeight="1">
      <c r="A60" s="64"/>
      <c r="B60" s="65"/>
      <c r="C60" s="32"/>
      <c r="E60" s="32"/>
    </row>
    <row r="61" spans="1:5" s="75" customFormat="1" ht="12.75" customHeight="1">
      <c r="A61" s="27" t="s">
        <v>1585</v>
      </c>
      <c r="B61" s="76"/>
      <c r="C61" s="42">
        <f>C59+C57</f>
        <v>264483</v>
      </c>
      <c r="D61" s="29"/>
      <c r="E61" s="42">
        <f>E59+E57</f>
        <v>262500</v>
      </c>
    </row>
    <row r="62" spans="1:5" s="69" customFormat="1" ht="12.75">
      <c r="A62" s="34"/>
      <c r="B62" s="34"/>
      <c r="C62" s="34"/>
      <c r="D62" s="34"/>
      <c r="E62" s="77"/>
    </row>
    <row r="63" spans="1:4" s="45" customFormat="1" ht="12.75">
      <c r="A63" s="48" t="s">
        <v>1539</v>
      </c>
      <c r="D63" s="4"/>
    </row>
    <row r="64" spans="1:4" s="69" customFormat="1" ht="12.75">
      <c r="A64" s="34"/>
      <c r="B64" s="34"/>
      <c r="C64" s="34"/>
      <c r="D64" s="34"/>
    </row>
    <row r="65" spans="1:4" s="69" customFormat="1" ht="12.75">
      <c r="A65" s="34"/>
      <c r="B65" s="34"/>
      <c r="C65" s="34"/>
      <c r="D65" s="34"/>
    </row>
    <row r="66" spans="1:4" s="69" customFormat="1" ht="12.75">
      <c r="A66" s="34"/>
      <c r="B66" s="34"/>
      <c r="C66" s="34"/>
      <c r="D66" s="34"/>
    </row>
    <row r="67" spans="1:4" s="69" customFormat="1" ht="12.75">
      <c r="A67" s="34"/>
      <c r="B67" s="34"/>
      <c r="C67" s="34"/>
      <c r="D67" s="34"/>
    </row>
    <row r="68" spans="1:4" s="69" customFormat="1" ht="12.75">
      <c r="A68" s="34"/>
      <c r="B68" s="34"/>
      <c r="C68" s="34"/>
      <c r="D68" s="34"/>
    </row>
    <row r="69" spans="1:4" s="69" customFormat="1" ht="12.75">
      <c r="A69" s="34"/>
      <c r="B69" s="34"/>
      <c r="C69" s="34"/>
      <c r="D69" s="34"/>
    </row>
    <row r="70" spans="1:4" s="69" customFormat="1" ht="12.75">
      <c r="A70" s="34"/>
      <c r="B70" s="34"/>
      <c r="C70" s="34"/>
      <c r="D70" s="34"/>
    </row>
    <row r="71" spans="1:4" s="69" customFormat="1" ht="12.75">
      <c r="A71" s="34"/>
      <c r="B71" s="34"/>
      <c r="C71" s="34"/>
      <c r="D71" s="34"/>
    </row>
    <row r="72" spans="1:4" s="69" customFormat="1" ht="12.75">
      <c r="A72" s="34"/>
      <c r="B72" s="34"/>
      <c r="C72" s="34"/>
      <c r="D72" s="34"/>
    </row>
    <row r="73" spans="1:4" s="69" customFormat="1" ht="12.75">
      <c r="A73" s="34"/>
      <c r="B73" s="34"/>
      <c r="C73" s="34"/>
      <c r="D73" s="34"/>
    </row>
    <row r="74" spans="1:4" s="69" customFormat="1" ht="12.75">
      <c r="A74" s="34"/>
      <c r="B74" s="34"/>
      <c r="C74" s="34"/>
      <c r="D74" s="34"/>
    </row>
    <row r="75" spans="1:4" s="69" customFormat="1" ht="12.75">
      <c r="A75" s="34"/>
      <c r="B75" s="34"/>
      <c r="C75" s="34"/>
      <c r="D75" s="34"/>
    </row>
    <row r="76" spans="1:4" s="69" customFormat="1" ht="12.75">
      <c r="A76" s="34"/>
      <c r="B76" s="34"/>
      <c r="C76" s="34"/>
      <c r="D76" s="34"/>
    </row>
    <row r="77" spans="1:4" s="69" customFormat="1" ht="12.75">
      <c r="A77" s="34"/>
      <c r="B77" s="34"/>
      <c r="C77" s="34"/>
      <c r="D77" s="34"/>
    </row>
    <row r="78" spans="1:4" s="69" customFormat="1" ht="12.75">
      <c r="A78" s="34"/>
      <c r="B78" s="34"/>
      <c r="C78" s="34"/>
      <c r="D78" s="34"/>
    </row>
    <row r="79" spans="1:4" s="69" customFormat="1" ht="12.75">
      <c r="A79" s="34"/>
      <c r="B79" s="34"/>
      <c r="C79" s="34"/>
      <c r="D79" s="34"/>
    </row>
    <row r="80" spans="1:4" s="69" customFormat="1" ht="12.75">
      <c r="A80" s="34"/>
      <c r="B80" s="34"/>
      <c r="C80" s="34"/>
      <c r="D80" s="34"/>
    </row>
    <row r="81" spans="1:4" s="69" customFormat="1" ht="12.75">
      <c r="A81" s="34"/>
      <c r="B81" s="34"/>
      <c r="C81" s="34"/>
      <c r="D81" s="34"/>
    </row>
    <row r="82" spans="1:4" s="69" customFormat="1" ht="12.75">
      <c r="A82" s="34"/>
      <c r="B82" s="34"/>
      <c r="C82" s="34"/>
      <c r="D82" s="34"/>
    </row>
    <row r="83" spans="1:4" s="69" customFormat="1" ht="12.75">
      <c r="A83" s="34"/>
      <c r="B83" s="34"/>
      <c r="C83" s="34"/>
      <c r="D83" s="34"/>
    </row>
    <row r="84" spans="1:4" s="69" customFormat="1" ht="12.75">
      <c r="A84" s="34"/>
      <c r="B84" s="34"/>
      <c r="C84" s="34"/>
      <c r="D84" s="34"/>
    </row>
    <row r="85" spans="1:4" s="69" customFormat="1" ht="12.75">
      <c r="A85" s="34"/>
      <c r="B85" s="34"/>
      <c r="C85" s="34"/>
      <c r="D85" s="34"/>
    </row>
    <row r="86" spans="1:4" s="69" customFormat="1" ht="12.75">
      <c r="A86" s="34"/>
      <c r="B86" s="34"/>
      <c r="C86" s="34"/>
      <c r="D86" s="34"/>
    </row>
    <row r="87" spans="1:4" s="69" customFormat="1" ht="12.75">
      <c r="A87" s="34"/>
      <c r="B87" s="34"/>
      <c r="C87" s="34"/>
      <c r="D87" s="34"/>
    </row>
    <row r="88" spans="1:4" s="69" customFormat="1" ht="12.75">
      <c r="A88" s="34"/>
      <c r="B88" s="34"/>
      <c r="C88" s="34"/>
      <c r="D88" s="34"/>
    </row>
    <row r="89" spans="1:4" s="69" customFormat="1" ht="12.75">
      <c r="A89" s="34"/>
      <c r="B89" s="34"/>
      <c r="C89" s="34"/>
      <c r="D89" s="34"/>
    </row>
    <row r="90" spans="1:4" s="69" customFormat="1" ht="12.75">
      <c r="A90" s="34"/>
      <c r="B90" s="34"/>
      <c r="C90" s="34"/>
      <c r="D90" s="34"/>
    </row>
    <row r="91" spans="1:4" s="69" customFormat="1" ht="12.75">
      <c r="A91" s="34"/>
      <c r="B91" s="34"/>
      <c r="C91" s="34"/>
      <c r="D91" s="34"/>
    </row>
    <row r="92" spans="1:4" s="69" customFormat="1" ht="12.75">
      <c r="A92" s="34"/>
      <c r="B92" s="34"/>
      <c r="C92" s="34"/>
      <c r="D92" s="34"/>
    </row>
    <row r="93" spans="1:4" s="69" customFormat="1" ht="12.75">
      <c r="A93" s="34"/>
      <c r="B93" s="34"/>
      <c r="C93" s="34"/>
      <c r="D93" s="34"/>
    </row>
    <row r="94" spans="1:4" s="69" customFormat="1" ht="12.75">
      <c r="A94" s="34"/>
      <c r="B94" s="34"/>
      <c r="C94" s="34"/>
      <c r="D94" s="34"/>
    </row>
    <row r="95" spans="1:4" s="69" customFormat="1" ht="12.75">
      <c r="A95" s="34"/>
      <c r="B95" s="34"/>
      <c r="C95" s="34"/>
      <c r="D95" s="34"/>
    </row>
    <row r="96" spans="1:4" s="69" customFormat="1" ht="12.75">
      <c r="A96" s="34"/>
      <c r="B96" s="34"/>
      <c r="C96" s="34"/>
      <c r="D96" s="34"/>
    </row>
    <row r="97" spans="1:4" s="69" customFormat="1" ht="12.75">
      <c r="A97" s="34"/>
      <c r="B97" s="34"/>
      <c r="C97" s="34"/>
      <c r="D97" s="34"/>
    </row>
    <row r="98" spans="1:4" s="69" customFormat="1" ht="12.75">
      <c r="A98" s="34"/>
      <c r="B98" s="34"/>
      <c r="C98" s="34"/>
      <c r="D98" s="34"/>
    </row>
    <row r="99" spans="1:4" s="69" customFormat="1" ht="12.75">
      <c r="A99" s="34"/>
      <c r="B99" s="34"/>
      <c r="C99" s="34"/>
      <c r="D99" s="34"/>
    </row>
    <row r="100" spans="1:4" s="69" customFormat="1" ht="12.75">
      <c r="A100" s="34"/>
      <c r="B100" s="34"/>
      <c r="C100" s="34"/>
      <c r="D100" s="34"/>
    </row>
    <row r="101" spans="1:4" s="69" customFormat="1" ht="12.75">
      <c r="A101" s="34"/>
      <c r="B101" s="34"/>
      <c r="C101" s="34"/>
      <c r="D101" s="34"/>
    </row>
    <row r="102" spans="1:4" s="69" customFormat="1" ht="12.75">
      <c r="A102" s="34"/>
      <c r="B102" s="34"/>
      <c r="C102" s="34"/>
      <c r="D102" s="34"/>
    </row>
    <row r="103" spans="1:4" s="69" customFormat="1" ht="12.75">
      <c r="A103" s="34"/>
      <c r="B103" s="34"/>
      <c r="C103" s="34"/>
      <c r="D103" s="34"/>
    </row>
    <row r="104" spans="1:4" s="69" customFormat="1" ht="12.75">
      <c r="A104" s="34"/>
      <c r="B104" s="34"/>
      <c r="C104" s="34"/>
      <c r="D104" s="34"/>
    </row>
    <row r="105" spans="1:4" s="69" customFormat="1" ht="12.75">
      <c r="A105" s="34"/>
      <c r="B105" s="34"/>
      <c r="C105" s="34"/>
      <c r="D105" s="34"/>
    </row>
    <row r="106" spans="1:4" s="69" customFormat="1" ht="12.75">
      <c r="A106" s="34"/>
      <c r="B106" s="34"/>
      <c r="C106" s="34"/>
      <c r="D106" s="34"/>
    </row>
    <row r="107" spans="1:4" s="69" customFormat="1" ht="12.75">
      <c r="A107" s="34"/>
      <c r="B107" s="34"/>
      <c r="C107" s="34"/>
      <c r="D107" s="34"/>
    </row>
    <row r="108" spans="1:4" s="69" customFormat="1" ht="12.75">
      <c r="A108" s="34"/>
      <c r="B108" s="34"/>
      <c r="C108" s="34"/>
      <c r="D108" s="34"/>
    </row>
    <row r="109" spans="1:4" s="69" customFormat="1" ht="12.75">
      <c r="A109" s="34"/>
      <c r="B109" s="34"/>
      <c r="C109" s="34"/>
      <c r="D109" s="34"/>
    </row>
    <row r="110" spans="1:4" s="69" customFormat="1" ht="12.75">
      <c r="A110" s="34"/>
      <c r="B110" s="34"/>
      <c r="C110" s="34"/>
      <c r="D110" s="34"/>
    </row>
    <row r="111" spans="1:4" s="69" customFormat="1" ht="12.75">
      <c r="A111" s="34"/>
      <c r="B111" s="34"/>
      <c r="C111" s="34"/>
      <c r="D111" s="34"/>
    </row>
    <row r="112" spans="1:4" s="69" customFormat="1" ht="12.75">
      <c r="A112" s="34"/>
      <c r="B112" s="34"/>
      <c r="C112" s="34"/>
      <c r="D112" s="34"/>
    </row>
    <row r="113" spans="1:4" s="69" customFormat="1" ht="12.75">
      <c r="A113" s="34"/>
      <c r="B113" s="34"/>
      <c r="C113" s="34"/>
      <c r="D113" s="34"/>
    </row>
    <row r="114" spans="1:4" s="69" customFormat="1" ht="12.75">
      <c r="A114" s="34"/>
      <c r="B114" s="34"/>
      <c r="C114" s="34"/>
      <c r="D114" s="34"/>
    </row>
    <row r="115" spans="1:4" s="69" customFormat="1" ht="12.75">
      <c r="A115" s="34"/>
      <c r="B115" s="34"/>
      <c r="C115" s="34"/>
      <c r="D115" s="34"/>
    </row>
    <row r="116" spans="1:4" s="69" customFormat="1" ht="12.75">
      <c r="A116" s="34"/>
      <c r="B116" s="34"/>
      <c r="C116" s="34"/>
      <c r="D116" s="34"/>
    </row>
    <row r="117" spans="1:4" s="69" customFormat="1" ht="12.75">
      <c r="A117" s="34"/>
      <c r="B117" s="34"/>
      <c r="C117" s="34"/>
      <c r="D117" s="34"/>
    </row>
    <row r="118" spans="1:4" s="69" customFormat="1" ht="12.75">
      <c r="A118" s="34"/>
      <c r="B118" s="34"/>
      <c r="C118" s="34"/>
      <c r="D118" s="34"/>
    </row>
    <row r="119" spans="1:4" s="69" customFormat="1" ht="12.75">
      <c r="A119" s="34"/>
      <c r="B119" s="34"/>
      <c r="C119" s="34"/>
      <c r="D119" s="34"/>
    </row>
    <row r="120" spans="1:4" s="69" customFormat="1" ht="12.75">
      <c r="A120" s="34"/>
      <c r="B120" s="34"/>
      <c r="C120" s="34"/>
      <c r="D120" s="34"/>
    </row>
    <row r="121" spans="1:4" s="69" customFormat="1" ht="12.75">
      <c r="A121" s="34"/>
      <c r="B121" s="34"/>
      <c r="C121" s="34"/>
      <c r="D121" s="34"/>
    </row>
    <row r="122" spans="1:4" s="69" customFormat="1" ht="12.75">
      <c r="A122" s="34"/>
      <c r="B122" s="34"/>
      <c r="C122" s="34"/>
      <c r="D122" s="34"/>
    </row>
    <row r="123" spans="1:4" s="69" customFormat="1" ht="12.75">
      <c r="A123" s="34"/>
      <c r="B123" s="34"/>
      <c r="C123" s="34"/>
      <c r="D123" s="34"/>
    </row>
    <row r="124" spans="1:4" s="69" customFormat="1" ht="12.75">
      <c r="A124" s="34"/>
      <c r="B124" s="34"/>
      <c r="C124" s="34"/>
      <c r="D124" s="34"/>
    </row>
    <row r="125" spans="1:4" s="69" customFormat="1" ht="12.75">
      <c r="A125" s="34"/>
      <c r="B125" s="34"/>
      <c r="C125" s="34"/>
      <c r="D125" s="34"/>
    </row>
    <row r="126" spans="1:4" s="69" customFormat="1" ht="12.75">
      <c r="A126" s="34"/>
      <c r="B126" s="34"/>
      <c r="C126" s="34"/>
      <c r="D126" s="34"/>
    </row>
    <row r="127" spans="1:4" s="69" customFormat="1" ht="12.75">
      <c r="A127" s="34"/>
      <c r="B127" s="34"/>
      <c r="C127" s="34"/>
      <c r="D127" s="34"/>
    </row>
    <row r="128" spans="1:4" s="69" customFormat="1" ht="12.75">
      <c r="A128" s="34"/>
      <c r="B128" s="34"/>
      <c r="C128" s="34"/>
      <c r="D128" s="34"/>
    </row>
    <row r="129" spans="1:4" s="69" customFormat="1" ht="12.75">
      <c r="A129" s="34"/>
      <c r="B129" s="34"/>
      <c r="C129" s="34"/>
      <c r="D129" s="34"/>
    </row>
    <row r="130" spans="1:4" s="69" customFormat="1" ht="12.75">
      <c r="A130" s="34"/>
      <c r="B130" s="34"/>
      <c r="C130" s="34"/>
      <c r="D130" s="34"/>
    </row>
    <row r="131" spans="1:4" s="69" customFormat="1" ht="12.75">
      <c r="A131" s="34"/>
      <c r="B131" s="34"/>
      <c r="C131" s="34"/>
      <c r="D131" s="34"/>
    </row>
    <row r="132" spans="1:4" s="69" customFormat="1" ht="12.75">
      <c r="A132" s="34"/>
      <c r="B132" s="34"/>
      <c r="C132" s="34"/>
      <c r="D132" s="34"/>
    </row>
    <row r="133" spans="1:4" s="69" customFormat="1" ht="12.75">
      <c r="A133" s="34"/>
      <c r="B133" s="34"/>
      <c r="C133" s="34"/>
      <c r="D133" s="34"/>
    </row>
    <row r="134" spans="1:4" s="69" customFormat="1" ht="12.75">
      <c r="A134" s="34"/>
      <c r="B134" s="34"/>
      <c r="C134" s="34"/>
      <c r="D134" s="34"/>
    </row>
    <row r="135" spans="1:4" s="69" customFormat="1" ht="12.75">
      <c r="A135" s="34"/>
      <c r="B135" s="34"/>
      <c r="C135" s="34"/>
      <c r="D135" s="34"/>
    </row>
    <row r="136" spans="1:4" s="69" customFormat="1" ht="12.75">
      <c r="A136" s="34"/>
      <c r="B136" s="34"/>
      <c r="C136" s="34"/>
      <c r="D136" s="34"/>
    </row>
    <row r="137" spans="1:4" s="69" customFormat="1" ht="12.75">
      <c r="A137" s="34"/>
      <c r="B137" s="34"/>
      <c r="C137" s="34"/>
      <c r="D137" s="34"/>
    </row>
    <row r="138" spans="1:4" s="69" customFormat="1" ht="12.75">
      <c r="A138" s="34"/>
      <c r="B138" s="34"/>
      <c r="C138" s="34"/>
      <c r="D138" s="34"/>
    </row>
    <row r="139" spans="1:4" s="69" customFormat="1" ht="12.75">
      <c r="A139" s="34"/>
      <c r="B139" s="34"/>
      <c r="C139" s="34"/>
      <c r="D139" s="34"/>
    </row>
    <row r="140" spans="1:4" s="69" customFormat="1" ht="12.75">
      <c r="A140" s="34"/>
      <c r="B140" s="34"/>
      <c r="C140" s="34"/>
      <c r="D140" s="34"/>
    </row>
    <row r="141" spans="1:4" s="69" customFormat="1" ht="12.75">
      <c r="A141" s="34"/>
      <c r="B141" s="34"/>
      <c r="C141" s="34"/>
      <c r="D141" s="34"/>
    </row>
    <row r="142" spans="1:4" s="69" customFormat="1" ht="12.75">
      <c r="A142" s="34"/>
      <c r="B142" s="34"/>
      <c r="C142" s="34"/>
      <c r="D142" s="34"/>
    </row>
    <row r="143" spans="1:4" s="69" customFormat="1" ht="12.75">
      <c r="A143" s="34"/>
      <c r="B143" s="34"/>
      <c r="C143" s="34"/>
      <c r="D143" s="34"/>
    </row>
    <row r="144" spans="1:4" s="69" customFormat="1" ht="12.75">
      <c r="A144" s="34"/>
      <c r="B144" s="34"/>
      <c r="C144" s="34"/>
      <c r="D144" s="34"/>
    </row>
    <row r="145" spans="1:4" s="69" customFormat="1" ht="12.75">
      <c r="A145" s="34"/>
      <c r="B145" s="34"/>
      <c r="C145" s="34"/>
      <c r="D145" s="34"/>
    </row>
    <row r="146" spans="1:4" s="69" customFormat="1" ht="12.75">
      <c r="A146" s="34"/>
      <c r="B146" s="34"/>
      <c r="C146" s="34"/>
      <c r="D146" s="34"/>
    </row>
    <row r="147" spans="1:4" s="69" customFormat="1" ht="12.75">
      <c r="A147" s="34"/>
      <c r="B147" s="34"/>
      <c r="C147" s="34"/>
      <c r="D147" s="34"/>
    </row>
    <row r="148" spans="1:4" s="69" customFormat="1" ht="12.75">
      <c r="A148" s="34"/>
      <c r="B148" s="34"/>
      <c r="C148" s="34"/>
      <c r="D148" s="34"/>
    </row>
    <row r="149" spans="1:4" s="69" customFormat="1" ht="12.75">
      <c r="A149" s="34"/>
      <c r="B149" s="34"/>
      <c r="C149" s="34"/>
      <c r="D149" s="34"/>
    </row>
    <row r="150" spans="1:4" s="69" customFormat="1" ht="12.75">
      <c r="A150" s="34"/>
      <c r="B150" s="34"/>
      <c r="C150" s="34"/>
      <c r="D150" s="34"/>
    </row>
    <row r="151" spans="1:4" s="69" customFormat="1" ht="12.75">
      <c r="A151" s="34"/>
      <c r="B151" s="34"/>
      <c r="C151" s="34"/>
      <c r="D151" s="34"/>
    </row>
    <row r="152" spans="1:4" s="69" customFormat="1" ht="12.75">
      <c r="A152" s="34"/>
      <c r="B152" s="34"/>
      <c r="C152" s="34"/>
      <c r="D152" s="34"/>
    </row>
    <row r="153" spans="1:4" s="69" customFormat="1" ht="12.75">
      <c r="A153" s="34"/>
      <c r="B153" s="34"/>
      <c r="C153" s="34"/>
      <c r="D153" s="34"/>
    </row>
    <row r="154" spans="1:4" s="69" customFormat="1" ht="12.75">
      <c r="A154" s="34"/>
      <c r="B154" s="34"/>
      <c r="C154" s="34"/>
      <c r="D154" s="34"/>
    </row>
    <row r="155" spans="1:4" s="69" customFormat="1" ht="12.75">
      <c r="A155" s="34"/>
      <c r="B155" s="34"/>
      <c r="C155" s="34"/>
      <c r="D155" s="34"/>
    </row>
    <row r="156" spans="1:4" s="69" customFormat="1" ht="12.75">
      <c r="A156" s="34"/>
      <c r="B156" s="34"/>
      <c r="C156" s="34"/>
      <c r="D156" s="34"/>
    </row>
    <row r="157" spans="1:4" s="69" customFormat="1" ht="12.75">
      <c r="A157" s="34"/>
      <c r="B157" s="34"/>
      <c r="C157" s="34"/>
      <c r="D157" s="34"/>
    </row>
    <row r="158" spans="1:4" s="69" customFormat="1" ht="12.75">
      <c r="A158" s="34"/>
      <c r="B158" s="34"/>
      <c r="C158" s="34"/>
      <c r="D158" s="34"/>
    </row>
    <row r="159" spans="1:4" s="69" customFormat="1" ht="12.75">
      <c r="A159" s="34"/>
      <c r="B159" s="34"/>
      <c r="C159" s="34"/>
      <c r="D159" s="34"/>
    </row>
    <row r="160" spans="1:4" s="69" customFormat="1" ht="12.75">
      <c r="A160" s="34"/>
      <c r="B160" s="34"/>
      <c r="C160" s="34"/>
      <c r="D160" s="34"/>
    </row>
    <row r="161" spans="1:4" s="69" customFormat="1" ht="12.75">
      <c r="A161" s="34"/>
      <c r="B161" s="34"/>
      <c r="C161" s="34"/>
      <c r="D161" s="34"/>
    </row>
    <row r="162" spans="1:4" s="69" customFormat="1" ht="12.75">
      <c r="A162" s="34"/>
      <c r="B162" s="34"/>
      <c r="C162" s="34"/>
      <c r="D162" s="34"/>
    </row>
    <row r="163" spans="1:4" s="69" customFormat="1" ht="12.75">
      <c r="A163" s="34"/>
      <c r="B163" s="34"/>
      <c r="C163" s="34"/>
      <c r="D163" s="34"/>
    </row>
    <row r="164" spans="1:4" s="69" customFormat="1" ht="12.75">
      <c r="A164" s="34"/>
      <c r="B164" s="34"/>
      <c r="C164" s="34"/>
      <c r="D164" s="34"/>
    </row>
    <row r="165" spans="1:4" s="69" customFormat="1" ht="12.75">
      <c r="A165" s="34"/>
      <c r="B165" s="34"/>
      <c r="C165" s="34"/>
      <c r="D165" s="34"/>
    </row>
    <row r="166" spans="1:4" s="69" customFormat="1" ht="12.75">
      <c r="A166" s="34"/>
      <c r="B166" s="34"/>
      <c r="C166" s="34"/>
      <c r="D166" s="34"/>
    </row>
    <row r="167" spans="1:4" s="69" customFormat="1" ht="12.75">
      <c r="A167" s="34"/>
      <c r="B167" s="34"/>
      <c r="C167" s="34"/>
      <c r="D167" s="34"/>
    </row>
    <row r="168" spans="1:4" s="69" customFormat="1" ht="12.75">
      <c r="A168" s="34"/>
      <c r="B168" s="34"/>
      <c r="C168" s="34"/>
      <c r="D168" s="34"/>
    </row>
    <row r="169" spans="1:4" s="69" customFormat="1" ht="12.75">
      <c r="A169" s="34"/>
      <c r="B169" s="34"/>
      <c r="C169" s="34"/>
      <c r="D169" s="34"/>
    </row>
    <row r="170" spans="1:4" s="69" customFormat="1" ht="12.75">
      <c r="A170" s="34"/>
      <c r="B170" s="34"/>
      <c r="C170" s="34"/>
      <c r="D170" s="34"/>
    </row>
    <row r="171" spans="1:4" s="69" customFormat="1" ht="12.75">
      <c r="A171" s="34"/>
      <c r="B171" s="34"/>
      <c r="C171" s="34"/>
      <c r="D171" s="34"/>
    </row>
    <row r="172" spans="1:4" s="69" customFormat="1" ht="12.75">
      <c r="A172" s="34"/>
      <c r="B172" s="34"/>
      <c r="C172" s="34"/>
      <c r="D172" s="34"/>
    </row>
    <row r="173" spans="1:4" s="69" customFormat="1" ht="12.75">
      <c r="A173" s="34"/>
      <c r="B173" s="34"/>
      <c r="C173" s="34"/>
      <c r="D173" s="34"/>
    </row>
    <row r="174" spans="1:4" s="69" customFormat="1" ht="12.75">
      <c r="A174" s="34"/>
      <c r="B174" s="34"/>
      <c r="C174" s="34"/>
      <c r="D174" s="34"/>
    </row>
    <row r="175" spans="1:4" s="69" customFormat="1" ht="12.75">
      <c r="A175" s="34"/>
      <c r="B175" s="34"/>
      <c r="C175" s="34"/>
      <c r="D175" s="34"/>
    </row>
    <row r="176" spans="1:4" s="69" customFormat="1" ht="12.75">
      <c r="A176" s="34"/>
      <c r="B176" s="34"/>
      <c r="C176" s="34"/>
      <c r="D176" s="34"/>
    </row>
    <row r="177" spans="1:4" s="69" customFormat="1" ht="12.75">
      <c r="A177" s="34"/>
      <c r="B177" s="34"/>
      <c r="C177" s="34"/>
      <c r="D177" s="34"/>
    </row>
    <row r="178" spans="1:4" s="69" customFormat="1" ht="12.75">
      <c r="A178" s="34"/>
      <c r="B178" s="34"/>
      <c r="C178" s="34"/>
      <c r="D178" s="34"/>
    </row>
    <row r="179" spans="1:4" s="69" customFormat="1" ht="12.75">
      <c r="A179" s="34"/>
      <c r="B179" s="34"/>
      <c r="C179" s="34"/>
      <c r="D179" s="34"/>
    </row>
    <row r="180" spans="1:4" s="69" customFormat="1" ht="12.75">
      <c r="A180" s="34"/>
      <c r="B180" s="34"/>
      <c r="C180" s="34"/>
      <c r="D180" s="34"/>
    </row>
    <row r="181" spans="1:4" s="69" customFormat="1" ht="12.75">
      <c r="A181" s="34"/>
      <c r="B181" s="34"/>
      <c r="C181" s="34"/>
      <c r="D181" s="34"/>
    </row>
    <row r="182" spans="1:4" s="69" customFormat="1" ht="12.75">
      <c r="A182" s="34"/>
      <c r="B182" s="34"/>
      <c r="C182" s="34"/>
      <c r="D182" s="34"/>
    </row>
    <row r="183" spans="1:4" s="69" customFormat="1" ht="12.75">
      <c r="A183" s="34"/>
      <c r="B183" s="34"/>
      <c r="C183" s="34"/>
      <c r="D183" s="34"/>
    </row>
    <row r="184" spans="1:4" s="69" customFormat="1" ht="12.75">
      <c r="A184" s="34"/>
      <c r="B184" s="34"/>
      <c r="C184" s="34"/>
      <c r="D184" s="34"/>
    </row>
    <row r="185" spans="1:4" s="69" customFormat="1" ht="12.75">
      <c r="A185" s="34"/>
      <c r="B185" s="34"/>
      <c r="C185" s="34"/>
      <c r="D185" s="34"/>
    </row>
    <row r="186" spans="1:4" s="69" customFormat="1" ht="12.75">
      <c r="A186" s="34"/>
      <c r="B186" s="34"/>
      <c r="C186" s="34"/>
      <c r="D186" s="34"/>
    </row>
    <row r="187" spans="1:4" s="69" customFormat="1" ht="12.75">
      <c r="A187" s="34"/>
      <c r="B187" s="34"/>
      <c r="C187" s="34"/>
      <c r="D187" s="34"/>
    </row>
    <row r="188" spans="1:4" s="69" customFormat="1" ht="12.75">
      <c r="A188" s="34"/>
      <c r="B188" s="34"/>
      <c r="C188" s="34"/>
      <c r="D188" s="34"/>
    </row>
    <row r="189" spans="1:4" s="69" customFormat="1" ht="12.75">
      <c r="A189" s="34"/>
      <c r="B189" s="34"/>
      <c r="C189" s="34"/>
      <c r="D189" s="34"/>
    </row>
    <row r="190" spans="1:4" s="69" customFormat="1" ht="12.75">
      <c r="A190" s="34"/>
      <c r="B190" s="34"/>
      <c r="C190" s="34"/>
      <c r="D190" s="34"/>
    </row>
    <row r="191" spans="1:4" s="69" customFormat="1" ht="12.75">
      <c r="A191" s="34"/>
      <c r="B191" s="34"/>
      <c r="C191" s="34"/>
      <c r="D191" s="34"/>
    </row>
    <row r="192" spans="1:4" s="69" customFormat="1" ht="12.75">
      <c r="A192" s="34"/>
      <c r="B192" s="34"/>
      <c r="C192" s="34"/>
      <c r="D192" s="34"/>
    </row>
    <row r="193" spans="1:4" s="69" customFormat="1" ht="12.75">
      <c r="A193" s="34"/>
      <c r="B193" s="34"/>
      <c r="C193" s="34"/>
      <c r="D193" s="34"/>
    </row>
    <row r="194" spans="1:4" s="69" customFormat="1" ht="12.75">
      <c r="A194" s="34"/>
      <c r="B194" s="34"/>
      <c r="C194" s="34"/>
      <c r="D194" s="34"/>
    </row>
    <row r="195" spans="1:4" s="69" customFormat="1" ht="12.75">
      <c r="A195" s="34"/>
      <c r="B195" s="34"/>
      <c r="C195" s="34"/>
      <c r="D195" s="34"/>
    </row>
    <row r="196" spans="1:4" s="69" customFormat="1" ht="12.75">
      <c r="A196" s="34"/>
      <c r="B196" s="34"/>
      <c r="C196" s="34"/>
      <c r="D196" s="34"/>
    </row>
    <row r="197" spans="1:4" s="69" customFormat="1" ht="12.75">
      <c r="A197" s="34"/>
      <c r="B197" s="34"/>
      <c r="C197" s="34"/>
      <c r="D197" s="34"/>
    </row>
    <row r="198" spans="1:4" s="69" customFormat="1" ht="12.75">
      <c r="A198" s="34"/>
      <c r="B198" s="34"/>
      <c r="C198" s="34"/>
      <c r="D198" s="34"/>
    </row>
    <row r="199" spans="1:4" s="69" customFormat="1" ht="12.75">
      <c r="A199" s="34"/>
      <c r="B199" s="34"/>
      <c r="C199" s="34"/>
      <c r="D199" s="34"/>
    </row>
    <row r="200" spans="1:4" s="69" customFormat="1" ht="12.75">
      <c r="A200" s="34"/>
      <c r="B200" s="34"/>
      <c r="C200" s="34"/>
      <c r="D200" s="34"/>
    </row>
    <row r="201" spans="1:4" s="69" customFormat="1" ht="12.75">
      <c r="A201" s="34"/>
      <c r="B201" s="34"/>
      <c r="C201" s="34"/>
      <c r="D201" s="34"/>
    </row>
    <row r="202" spans="1:4" s="69" customFormat="1" ht="12.75">
      <c r="A202" s="34"/>
      <c r="B202" s="34"/>
      <c r="C202" s="34"/>
      <c r="D202" s="34"/>
    </row>
    <row r="203" spans="1:4" s="69" customFormat="1" ht="12.75">
      <c r="A203" s="34"/>
      <c r="B203" s="34"/>
      <c r="C203" s="34"/>
      <c r="D203" s="34"/>
    </row>
    <row r="204" spans="1:4" s="69" customFormat="1" ht="12.75">
      <c r="A204" s="34"/>
      <c r="B204" s="34"/>
      <c r="C204" s="34"/>
      <c r="D204" s="34"/>
    </row>
    <row r="205" spans="1:4" s="69" customFormat="1" ht="12.75">
      <c r="A205" s="34"/>
      <c r="B205" s="34"/>
      <c r="C205" s="34"/>
      <c r="D205" s="34"/>
    </row>
    <row r="206" spans="1:4" s="69" customFormat="1" ht="12.75">
      <c r="A206" s="34"/>
      <c r="B206" s="34"/>
      <c r="C206" s="34"/>
      <c r="D206" s="34"/>
    </row>
    <row r="207" spans="1:4" s="69" customFormat="1" ht="12.75">
      <c r="A207" s="34"/>
      <c r="B207" s="34"/>
      <c r="C207" s="34"/>
      <c r="D207" s="34"/>
    </row>
    <row r="208" spans="1:4" s="69" customFormat="1" ht="12.75">
      <c r="A208" s="34"/>
      <c r="B208" s="34"/>
      <c r="C208" s="34"/>
      <c r="D208" s="34"/>
    </row>
    <row r="209" spans="1:4" s="69" customFormat="1" ht="12.75">
      <c r="A209" s="34"/>
      <c r="B209" s="34"/>
      <c r="C209" s="34"/>
      <c r="D209" s="34"/>
    </row>
    <row r="210" spans="1:4" s="69" customFormat="1" ht="12.75">
      <c r="A210" s="34"/>
      <c r="B210" s="34"/>
      <c r="C210" s="34"/>
      <c r="D210" s="34"/>
    </row>
    <row r="211" spans="1:4" s="69" customFormat="1" ht="12.75">
      <c r="A211" s="34"/>
      <c r="B211" s="34"/>
      <c r="C211" s="34"/>
      <c r="D211" s="34"/>
    </row>
    <row r="212" spans="1:4" s="69" customFormat="1" ht="12.75">
      <c r="A212" s="34"/>
      <c r="B212" s="34"/>
      <c r="C212" s="34"/>
      <c r="D212" s="34"/>
    </row>
    <row r="213" spans="1:4" s="69" customFormat="1" ht="12.75">
      <c r="A213" s="34"/>
      <c r="B213" s="34"/>
      <c r="C213" s="34"/>
      <c r="D213" s="34"/>
    </row>
    <row r="214" spans="1:4" s="69" customFormat="1" ht="12.75">
      <c r="A214" s="34"/>
      <c r="B214" s="34"/>
      <c r="C214" s="34"/>
      <c r="D214" s="34"/>
    </row>
    <row r="215" spans="1:4" s="69" customFormat="1" ht="12.75">
      <c r="A215" s="34"/>
      <c r="B215" s="34"/>
      <c r="C215" s="34"/>
      <c r="D215" s="34"/>
    </row>
    <row r="216" spans="1:4" s="69" customFormat="1" ht="12.75">
      <c r="A216" s="34"/>
      <c r="B216" s="34"/>
      <c r="C216" s="34"/>
      <c r="D216" s="34"/>
    </row>
    <row r="217" spans="1:4" s="69" customFormat="1" ht="12.75">
      <c r="A217" s="34"/>
      <c r="B217" s="34"/>
      <c r="C217" s="34"/>
      <c r="D217" s="34"/>
    </row>
    <row r="218" spans="1:4" s="69" customFormat="1" ht="12.75">
      <c r="A218" s="34"/>
      <c r="B218" s="34"/>
      <c r="C218" s="34"/>
      <c r="D218" s="34"/>
    </row>
    <row r="219" spans="1:4" s="69" customFormat="1" ht="12.75">
      <c r="A219" s="34"/>
      <c r="B219" s="34"/>
      <c r="C219" s="34"/>
      <c r="D219" s="34"/>
    </row>
    <row r="220" spans="1:4" s="69" customFormat="1" ht="12.75">
      <c r="A220" s="34"/>
      <c r="B220" s="34"/>
      <c r="C220" s="34"/>
      <c r="D220" s="34"/>
    </row>
    <row r="221" spans="1:4" s="69" customFormat="1" ht="12.75">
      <c r="A221" s="34"/>
      <c r="B221" s="34"/>
      <c r="C221" s="34"/>
      <c r="D221" s="34"/>
    </row>
    <row r="222" spans="1:4" s="69" customFormat="1" ht="12.75">
      <c r="A222" s="34"/>
      <c r="B222" s="34"/>
      <c r="C222" s="34"/>
      <c r="D222" s="34"/>
    </row>
    <row r="223" spans="1:4" s="69" customFormat="1" ht="12.75">
      <c r="A223" s="34"/>
      <c r="B223" s="34"/>
      <c r="C223" s="34"/>
      <c r="D223" s="34"/>
    </row>
    <row r="224" spans="1:4" s="69" customFormat="1" ht="12.75">
      <c r="A224" s="34"/>
      <c r="B224" s="34"/>
      <c r="C224" s="34"/>
      <c r="D224" s="34"/>
    </row>
    <row r="225" spans="1:4" s="69" customFormat="1" ht="12.75">
      <c r="A225" s="34"/>
      <c r="B225" s="34"/>
      <c r="C225" s="34"/>
      <c r="D225" s="34"/>
    </row>
    <row r="226" spans="1:4" s="69" customFormat="1" ht="12.75">
      <c r="A226" s="34"/>
      <c r="B226" s="34"/>
      <c r="C226" s="34"/>
      <c r="D226" s="34"/>
    </row>
    <row r="227" spans="1:4" s="69" customFormat="1" ht="12.75">
      <c r="A227" s="34"/>
      <c r="B227" s="34"/>
      <c r="C227" s="34"/>
      <c r="D227" s="34"/>
    </row>
    <row r="228" spans="1:4" s="69" customFormat="1" ht="12.75">
      <c r="A228" s="34"/>
      <c r="B228" s="34"/>
      <c r="C228" s="34"/>
      <c r="D228" s="34"/>
    </row>
    <row r="229" spans="1:4" s="69" customFormat="1" ht="12.75">
      <c r="A229" s="34"/>
      <c r="B229" s="34"/>
      <c r="C229" s="34"/>
      <c r="D229" s="34"/>
    </row>
    <row r="230" spans="1:4" s="69" customFormat="1" ht="12.75">
      <c r="A230" s="34"/>
      <c r="B230" s="34"/>
      <c r="C230" s="34"/>
      <c r="D230" s="34"/>
    </row>
    <row r="231" spans="1:4" s="69" customFormat="1" ht="12.75">
      <c r="A231" s="34"/>
      <c r="B231" s="34"/>
      <c r="C231" s="34"/>
      <c r="D231" s="34"/>
    </row>
    <row r="232" spans="1:4" s="69" customFormat="1" ht="12.75">
      <c r="A232" s="34"/>
      <c r="B232" s="34"/>
      <c r="C232" s="34"/>
      <c r="D232" s="34"/>
    </row>
    <row r="233" spans="1:4" s="69" customFormat="1" ht="12.75">
      <c r="A233" s="34"/>
      <c r="B233" s="34"/>
      <c r="C233" s="34"/>
      <c r="D233" s="34"/>
    </row>
    <row r="234" spans="1:4" s="69" customFormat="1" ht="12.75">
      <c r="A234" s="34"/>
      <c r="B234" s="34"/>
      <c r="C234" s="34"/>
      <c r="D234" s="34"/>
    </row>
    <row r="235" spans="1:4" s="69" customFormat="1" ht="12.75">
      <c r="A235" s="34"/>
      <c r="B235" s="34"/>
      <c r="C235" s="34"/>
      <c r="D235" s="34"/>
    </row>
    <row r="236" spans="1:4" s="69" customFormat="1" ht="12.75">
      <c r="A236" s="34"/>
      <c r="B236" s="34"/>
      <c r="C236" s="34"/>
      <c r="D236" s="34"/>
    </row>
    <row r="237" spans="1:4" s="69" customFormat="1" ht="12.75">
      <c r="A237" s="34"/>
      <c r="B237" s="34"/>
      <c r="C237" s="34"/>
      <c r="D237" s="34"/>
    </row>
    <row r="238" spans="1:4" s="69" customFormat="1" ht="12.75">
      <c r="A238" s="34"/>
      <c r="B238" s="34"/>
      <c r="C238" s="34"/>
      <c r="D238" s="34"/>
    </row>
    <row r="239" spans="1:4" s="69" customFormat="1" ht="12.75">
      <c r="A239" s="34"/>
      <c r="B239" s="34"/>
      <c r="C239" s="34"/>
      <c r="D239" s="34"/>
    </row>
    <row r="240" spans="1:4" s="69" customFormat="1" ht="12.75">
      <c r="A240" s="34"/>
      <c r="B240" s="34"/>
      <c r="C240" s="34"/>
      <c r="D240" s="34"/>
    </row>
    <row r="241" spans="1:4" s="69" customFormat="1" ht="12.75">
      <c r="A241" s="34"/>
      <c r="B241" s="34"/>
      <c r="C241" s="34"/>
      <c r="D241" s="34"/>
    </row>
    <row r="242" spans="1:4" s="69" customFormat="1" ht="12.75">
      <c r="A242" s="34"/>
      <c r="B242" s="34"/>
      <c r="C242" s="34"/>
      <c r="D242" s="34"/>
    </row>
    <row r="243" spans="1:4" s="69" customFormat="1" ht="12.75">
      <c r="A243" s="34"/>
      <c r="B243" s="34"/>
      <c r="C243" s="34"/>
      <c r="D243" s="34"/>
    </row>
    <row r="244" spans="1:4" s="69" customFormat="1" ht="12.75">
      <c r="A244" s="34"/>
      <c r="B244" s="34"/>
      <c r="C244" s="34"/>
      <c r="D244" s="34"/>
    </row>
    <row r="245" spans="1:4" s="69" customFormat="1" ht="12.75">
      <c r="A245" s="34"/>
      <c r="B245" s="34"/>
      <c r="C245" s="34"/>
      <c r="D245" s="34"/>
    </row>
    <row r="246" spans="1:4" s="69" customFormat="1" ht="12.75">
      <c r="A246" s="34"/>
      <c r="B246" s="34"/>
      <c r="C246" s="34"/>
      <c r="D246" s="34"/>
    </row>
    <row r="247" spans="1:4" s="69" customFormat="1" ht="12.75">
      <c r="A247" s="34"/>
      <c r="B247" s="34"/>
      <c r="C247" s="34"/>
      <c r="D247" s="34"/>
    </row>
    <row r="248" spans="1:4" s="69" customFormat="1" ht="12.75">
      <c r="A248" s="34"/>
      <c r="B248" s="34"/>
      <c r="C248" s="34"/>
      <c r="D248" s="34"/>
    </row>
    <row r="249" spans="1:4" s="69" customFormat="1" ht="12.75">
      <c r="A249" s="34"/>
      <c r="B249" s="34"/>
      <c r="C249" s="34"/>
      <c r="D249" s="34"/>
    </row>
    <row r="250" spans="1:4" s="69" customFormat="1" ht="12.75">
      <c r="A250" s="34"/>
      <c r="B250" s="34"/>
      <c r="C250" s="34"/>
      <c r="D250" s="34"/>
    </row>
    <row r="251" spans="1:4" s="69" customFormat="1" ht="12.75">
      <c r="A251" s="34"/>
      <c r="B251" s="34"/>
      <c r="C251" s="34"/>
      <c r="D251" s="34"/>
    </row>
    <row r="252" spans="1:4" s="69" customFormat="1" ht="12.75">
      <c r="A252" s="34"/>
      <c r="B252" s="34"/>
      <c r="C252" s="34"/>
      <c r="D252" s="34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5" sqref="A5"/>
    </sheetView>
  </sheetViews>
  <sheetFormatPr defaultColWidth="9.140625" defaultRowHeight="12.75"/>
  <cols>
    <col min="1" max="2" width="2.7109375" style="108" customWidth="1"/>
    <col min="3" max="3" width="65.7109375" style="81" customWidth="1"/>
    <col min="4" max="4" width="14.7109375" style="115" customWidth="1"/>
    <col min="5" max="5" width="14.7109375" style="110" customWidth="1"/>
    <col min="6" max="16384" width="9.140625" style="81" customWidth="1"/>
  </cols>
  <sheetData>
    <row r="1" spans="1:5" ht="15">
      <c r="A1" s="5" t="s">
        <v>1489</v>
      </c>
      <c r="B1" s="78"/>
      <c r="C1" s="78"/>
      <c r="D1" s="79"/>
      <c r="E1" s="80"/>
    </row>
    <row r="2" spans="1:5" ht="15.75">
      <c r="A2" s="11" t="s">
        <v>1586</v>
      </c>
      <c r="B2" s="82"/>
      <c r="C2" s="82"/>
      <c r="D2" s="83"/>
      <c r="E2" s="84"/>
    </row>
    <row r="3" spans="1:5" ht="15.75">
      <c r="A3" s="11" t="s">
        <v>1587</v>
      </c>
      <c r="B3" s="82"/>
      <c r="C3" s="82"/>
      <c r="D3" s="83"/>
      <c r="E3" s="84"/>
    </row>
    <row r="4" spans="1:5" ht="12.75" customHeight="1">
      <c r="A4" s="85" t="s">
        <v>1492</v>
      </c>
      <c r="B4" s="82"/>
      <c r="C4" s="82"/>
      <c r="D4" s="83"/>
      <c r="E4" s="84"/>
    </row>
    <row r="5" spans="1:5" ht="12.75" customHeight="1">
      <c r="A5" s="86"/>
      <c r="B5" s="87"/>
      <c r="C5" s="87"/>
      <c r="D5" s="88">
        <v>2004</v>
      </c>
      <c r="E5" s="89">
        <v>2003</v>
      </c>
    </row>
    <row r="6" spans="1:5" s="95" customFormat="1" ht="12.75" customHeight="1">
      <c r="A6" s="90" t="s">
        <v>1588</v>
      </c>
      <c r="B6" s="91"/>
      <c r="C6" s="92"/>
      <c r="D6" s="93"/>
      <c r="E6" s="94"/>
    </row>
    <row r="7" spans="1:5" s="95" customFormat="1" ht="12.75" customHeight="1">
      <c r="A7" s="90"/>
      <c r="B7" s="91"/>
      <c r="C7" s="92"/>
      <c r="D7" s="93"/>
      <c r="E7" s="94"/>
    </row>
    <row r="8" spans="1:5" ht="12.75" customHeight="1">
      <c r="A8" s="96"/>
      <c r="B8" s="97" t="s">
        <v>1543</v>
      </c>
      <c r="C8" s="98"/>
      <c r="D8" s="99">
        <v>61587</v>
      </c>
      <c r="E8" s="100">
        <v>49598</v>
      </c>
    </row>
    <row r="9" spans="1:5" ht="12.75" customHeight="1">
      <c r="A9" s="96"/>
      <c r="B9" s="97" t="s">
        <v>1589</v>
      </c>
      <c r="C9" s="98"/>
      <c r="D9" s="101">
        <v>22330</v>
      </c>
      <c r="E9" s="102">
        <v>23871</v>
      </c>
    </row>
    <row r="10" spans="1:5" ht="12.75" customHeight="1">
      <c r="A10" s="96"/>
      <c r="B10" s="97" t="s">
        <v>1590</v>
      </c>
      <c r="C10" s="98"/>
      <c r="D10" s="101">
        <v>14265</v>
      </c>
      <c r="E10" s="102">
        <v>14085</v>
      </c>
    </row>
    <row r="11" spans="1:5" ht="12.75" customHeight="1">
      <c r="A11" s="96"/>
      <c r="B11" s="97" t="s">
        <v>1591</v>
      </c>
      <c r="C11" s="98"/>
      <c r="D11" s="101">
        <v>2623</v>
      </c>
      <c r="E11" s="102">
        <v>2570</v>
      </c>
    </row>
    <row r="12" spans="1:5" ht="12.75" customHeight="1">
      <c r="A12" s="96"/>
      <c r="B12" s="97" t="s">
        <v>1592</v>
      </c>
      <c r="C12" s="98"/>
      <c r="D12" s="101">
        <v>7044</v>
      </c>
      <c r="E12" s="102">
        <v>6454</v>
      </c>
    </row>
    <row r="13" spans="1:5" ht="12.75" customHeight="1">
      <c r="A13" s="96"/>
      <c r="B13" s="97" t="s">
        <v>1593</v>
      </c>
      <c r="C13" s="98"/>
      <c r="D13" s="101">
        <v>-50319</v>
      </c>
      <c r="E13" s="102">
        <v>-37053</v>
      </c>
    </row>
    <row r="14" spans="1:5" ht="12.75" customHeight="1">
      <c r="A14" s="96"/>
      <c r="B14" s="97" t="s">
        <v>1594</v>
      </c>
      <c r="C14" s="98"/>
      <c r="D14" s="101">
        <v>-83320</v>
      </c>
      <c r="E14" s="102">
        <v>-82902</v>
      </c>
    </row>
    <row r="15" spans="1:5" ht="12.75" customHeight="1">
      <c r="A15" s="96"/>
      <c r="B15" s="97" t="s">
        <v>1595</v>
      </c>
      <c r="C15" s="98"/>
      <c r="D15" s="101">
        <v>-19331</v>
      </c>
      <c r="E15" s="102">
        <v>-14920</v>
      </c>
    </row>
    <row r="16" spans="1:5" ht="12.75" customHeight="1">
      <c r="A16" s="96"/>
      <c r="B16" s="97" t="s">
        <v>1596</v>
      </c>
      <c r="C16" s="98"/>
      <c r="D16" s="101">
        <v>-3836</v>
      </c>
      <c r="E16" s="102">
        <v>-3462</v>
      </c>
    </row>
    <row r="17" spans="1:5" ht="12.75" customHeight="1">
      <c r="A17" s="96"/>
      <c r="B17" s="97" t="s">
        <v>1597</v>
      </c>
      <c r="C17" s="98"/>
      <c r="D17" s="101">
        <v>-1097</v>
      </c>
      <c r="E17" s="102">
        <v>-1278</v>
      </c>
    </row>
    <row r="18" spans="1:5" ht="12.75" customHeight="1">
      <c r="A18" s="96"/>
      <c r="B18" s="97" t="s">
        <v>1598</v>
      </c>
      <c r="C18" s="98"/>
      <c r="D18" s="101">
        <v>1237</v>
      </c>
      <c r="E18" s="102">
        <v>828</v>
      </c>
    </row>
    <row r="19" spans="1:5" ht="12.75" customHeight="1">
      <c r="A19" s="96"/>
      <c r="B19" s="97" t="s">
        <v>1599</v>
      </c>
      <c r="C19" s="98"/>
      <c r="D19" s="101">
        <v>62</v>
      </c>
      <c r="E19" s="102">
        <v>73</v>
      </c>
    </row>
    <row r="20" spans="1:5" ht="12.75" customHeight="1">
      <c r="A20" s="96"/>
      <c r="B20" s="97" t="s">
        <v>1600</v>
      </c>
      <c r="C20" s="98"/>
      <c r="D20" s="101">
        <v>2636</v>
      </c>
      <c r="E20" s="102">
        <v>1605</v>
      </c>
    </row>
    <row r="21" spans="1:5" ht="12.75" customHeight="1">
      <c r="A21" s="96"/>
      <c r="B21" s="97"/>
      <c r="C21" s="98"/>
      <c r="D21" s="101"/>
      <c r="E21" s="102"/>
    </row>
    <row r="22" spans="1:5" s="95" customFormat="1" ht="12.75" customHeight="1">
      <c r="A22" s="90"/>
      <c r="B22" s="91"/>
      <c r="C22" s="92" t="s">
        <v>1601</v>
      </c>
      <c r="D22" s="103">
        <f>SUM(D8:D20)</f>
        <v>-46119</v>
      </c>
      <c r="E22" s="104">
        <f>SUM(E8:E20)</f>
        <v>-40531</v>
      </c>
    </row>
    <row r="23" spans="1:5" ht="12.75" customHeight="1">
      <c r="A23" s="96"/>
      <c r="B23" s="97"/>
      <c r="C23" s="98"/>
      <c r="D23" s="101"/>
      <c r="E23" s="102"/>
    </row>
    <row r="24" spans="1:5" s="95" customFormat="1" ht="12.75" customHeight="1">
      <c r="A24" s="90" t="s">
        <v>1602</v>
      </c>
      <c r="B24" s="91"/>
      <c r="C24" s="92"/>
      <c r="D24" s="101"/>
      <c r="E24" s="102"/>
    </row>
    <row r="25" spans="1:5" s="95" customFormat="1" ht="12.75" customHeight="1">
      <c r="A25" s="90"/>
      <c r="B25" s="91"/>
      <c r="C25" s="92"/>
      <c r="D25" s="101"/>
      <c r="E25" s="102"/>
    </row>
    <row r="26" spans="1:5" ht="12.75" customHeight="1">
      <c r="A26" s="96"/>
      <c r="B26" s="97" t="s">
        <v>1603</v>
      </c>
      <c r="C26" s="98"/>
      <c r="D26" s="101">
        <v>3871</v>
      </c>
      <c r="E26" s="102">
        <v>2642</v>
      </c>
    </row>
    <row r="27" spans="1:5" ht="12.75" customHeight="1">
      <c r="A27" s="96"/>
      <c r="B27" s="97" t="s">
        <v>1604</v>
      </c>
      <c r="C27" s="98"/>
      <c r="D27" s="101">
        <v>-3737</v>
      </c>
      <c r="E27" s="102">
        <v>9135</v>
      </c>
    </row>
    <row r="28" spans="1:5" ht="12.75" customHeight="1">
      <c r="A28" s="96"/>
      <c r="B28" s="97"/>
      <c r="C28" s="98"/>
      <c r="D28" s="101"/>
      <c r="E28" s="102"/>
    </row>
    <row r="29" spans="1:5" s="95" customFormat="1" ht="12.75" customHeight="1">
      <c r="A29" s="90"/>
      <c r="B29" s="91"/>
      <c r="C29" s="92" t="s">
        <v>1605</v>
      </c>
      <c r="D29" s="103">
        <f>SUM(D26:D27)</f>
        <v>134</v>
      </c>
      <c r="E29" s="104">
        <f>SUM(E26:E27)</f>
        <v>11777</v>
      </c>
    </row>
    <row r="30" spans="1:5" ht="12.75" customHeight="1">
      <c r="A30" s="96"/>
      <c r="B30" s="97"/>
      <c r="C30" s="98"/>
      <c r="D30" s="101"/>
      <c r="E30" s="102"/>
    </row>
    <row r="31" spans="1:5" s="95" customFormat="1" ht="12.75" customHeight="1">
      <c r="A31" s="90" t="s">
        <v>1606</v>
      </c>
      <c r="B31" s="91"/>
      <c r="C31" s="92"/>
      <c r="D31" s="101"/>
      <c r="E31" s="102"/>
    </row>
    <row r="32" spans="1:5" s="95" customFormat="1" ht="12.75" customHeight="1">
      <c r="A32" s="90"/>
      <c r="B32" s="91"/>
      <c r="C32" s="92"/>
      <c r="D32" s="101"/>
      <c r="E32" s="102"/>
    </row>
    <row r="33" spans="1:5" ht="12.75" customHeight="1">
      <c r="A33" s="96"/>
      <c r="B33" s="97" t="s">
        <v>1607</v>
      </c>
      <c r="C33" s="98"/>
      <c r="D33" s="101">
        <v>0</v>
      </c>
      <c r="E33" s="102">
        <v>1611</v>
      </c>
    </row>
    <row r="34" spans="1:5" ht="12.75" customHeight="1">
      <c r="A34" s="96"/>
      <c r="B34" s="97" t="s">
        <v>1571</v>
      </c>
      <c r="C34" s="98"/>
      <c r="D34" s="101">
        <v>5602</v>
      </c>
      <c r="E34" s="102">
        <v>6921</v>
      </c>
    </row>
    <row r="35" spans="1:5" ht="12.75" customHeight="1">
      <c r="A35" s="96"/>
      <c r="B35" s="97" t="s">
        <v>1577</v>
      </c>
      <c r="C35" s="98"/>
      <c r="D35" s="101">
        <v>30</v>
      </c>
      <c r="E35" s="102">
        <v>0</v>
      </c>
    </row>
    <row r="36" spans="1:5" ht="12.75" customHeight="1">
      <c r="A36" s="96"/>
      <c r="B36" s="97" t="s">
        <v>1608</v>
      </c>
      <c r="C36" s="98"/>
      <c r="D36" s="101">
        <v>0</v>
      </c>
      <c r="E36" s="102">
        <v>7</v>
      </c>
    </row>
    <row r="37" spans="1:5" ht="12.75" customHeight="1">
      <c r="A37" s="96"/>
      <c r="B37" s="97" t="s">
        <v>1609</v>
      </c>
      <c r="C37" s="98"/>
      <c r="D37" s="101">
        <v>-11726</v>
      </c>
      <c r="E37" s="102">
        <v>-30254</v>
      </c>
    </row>
    <row r="38" spans="1:5" ht="12.75" customHeight="1">
      <c r="A38" s="96"/>
      <c r="B38" s="97" t="s">
        <v>1610</v>
      </c>
      <c r="C38" s="98"/>
      <c r="D38" s="101">
        <v>3971</v>
      </c>
      <c r="E38" s="102">
        <v>0</v>
      </c>
    </row>
    <row r="39" spans="1:5" ht="12.75" customHeight="1">
      <c r="A39" s="96"/>
      <c r="B39" s="97" t="s">
        <v>1611</v>
      </c>
      <c r="C39" s="98"/>
      <c r="D39" s="101">
        <v>-1250</v>
      </c>
      <c r="E39" s="102">
        <v>-1156</v>
      </c>
    </row>
    <row r="40" spans="1:5" ht="12.75" customHeight="1">
      <c r="A40" s="96"/>
      <c r="B40" s="97" t="s">
        <v>1612</v>
      </c>
      <c r="C40" s="98"/>
      <c r="D40" s="101">
        <v>-4882</v>
      </c>
      <c r="E40" s="102">
        <v>0</v>
      </c>
    </row>
    <row r="41" spans="1:5" ht="12.75" customHeight="1">
      <c r="A41" s="96"/>
      <c r="B41" s="97" t="s">
        <v>1613</v>
      </c>
      <c r="C41" s="98"/>
      <c r="D41" s="101">
        <v>-48</v>
      </c>
      <c r="E41" s="102"/>
    </row>
    <row r="42" spans="1:5" ht="12.75" customHeight="1">
      <c r="A42" s="96"/>
      <c r="B42" s="97" t="s">
        <v>1614</v>
      </c>
      <c r="C42" s="98"/>
      <c r="D42" s="101">
        <v>-2676</v>
      </c>
      <c r="E42" s="102">
        <v>-2812</v>
      </c>
    </row>
    <row r="43" spans="1:5" ht="12.75" customHeight="1">
      <c r="A43" s="96"/>
      <c r="B43" s="97"/>
      <c r="C43" s="98"/>
      <c r="D43" s="101"/>
      <c r="E43" s="102"/>
    </row>
    <row r="44" spans="1:5" s="95" customFormat="1" ht="12.75" customHeight="1">
      <c r="A44" s="90"/>
      <c r="B44" s="91"/>
      <c r="C44" s="92" t="s">
        <v>1615</v>
      </c>
      <c r="D44" s="103">
        <f>SUM(D33:D42)</f>
        <v>-10979</v>
      </c>
      <c r="E44" s="104">
        <f>SUM(E33:E42)</f>
        <v>-25683</v>
      </c>
    </row>
    <row r="45" spans="1:5" ht="12.75" customHeight="1">
      <c r="A45" s="96"/>
      <c r="B45" s="97"/>
      <c r="C45" s="98"/>
      <c r="D45" s="101"/>
      <c r="E45" s="102"/>
    </row>
    <row r="46" spans="1:5" s="95" customFormat="1" ht="12.75" customHeight="1">
      <c r="A46" s="90" t="s">
        <v>1616</v>
      </c>
      <c r="B46" s="91"/>
      <c r="C46" s="92"/>
      <c r="D46" s="101"/>
      <c r="E46" s="102"/>
    </row>
    <row r="47" spans="1:5" s="95" customFormat="1" ht="12.75" customHeight="1">
      <c r="A47" s="90"/>
      <c r="B47" s="91"/>
      <c r="C47" s="92"/>
      <c r="D47" s="101"/>
      <c r="E47" s="102"/>
    </row>
    <row r="48" spans="1:5" ht="12.75" customHeight="1">
      <c r="A48" s="96"/>
      <c r="B48" s="97" t="s">
        <v>1617</v>
      </c>
      <c r="C48" s="98"/>
      <c r="D48" s="101">
        <v>46427</v>
      </c>
      <c r="E48" s="102">
        <v>48345</v>
      </c>
    </row>
    <row r="49" spans="1:5" ht="12.75" customHeight="1">
      <c r="A49" s="96"/>
      <c r="B49" s="97" t="s">
        <v>1569</v>
      </c>
      <c r="C49" s="98"/>
      <c r="D49" s="101">
        <v>0</v>
      </c>
      <c r="E49" s="102">
        <v>55</v>
      </c>
    </row>
    <row r="50" spans="1:5" ht="12.75" customHeight="1">
      <c r="A50" s="96"/>
      <c r="B50" s="97" t="s">
        <v>1618</v>
      </c>
      <c r="C50" s="98"/>
      <c r="D50" s="101">
        <v>2881</v>
      </c>
      <c r="E50" s="102">
        <v>1055</v>
      </c>
    </row>
    <row r="51" spans="1:5" ht="12.75" customHeight="1">
      <c r="A51" s="96"/>
      <c r="B51" s="97" t="s">
        <v>1619</v>
      </c>
      <c r="C51" s="98"/>
      <c r="D51" s="101">
        <v>-971</v>
      </c>
      <c r="E51" s="102">
        <v>79</v>
      </c>
    </row>
    <row r="52" spans="1:5" ht="12.75" customHeight="1">
      <c r="A52" s="96"/>
      <c r="B52" s="97" t="s">
        <v>1620</v>
      </c>
      <c r="C52" s="98"/>
      <c r="D52" s="101">
        <v>232</v>
      </c>
      <c r="E52" s="102">
        <v>282</v>
      </c>
    </row>
    <row r="53" spans="1:5" ht="12.75" customHeight="1">
      <c r="A53" s="96"/>
      <c r="B53" s="97"/>
      <c r="C53" s="98"/>
      <c r="D53" s="101"/>
      <c r="E53" s="102"/>
    </row>
    <row r="54" spans="1:5" s="95" customFormat="1" ht="12.75" customHeight="1">
      <c r="A54" s="90"/>
      <c r="B54" s="91"/>
      <c r="C54" s="92" t="s">
        <v>1621</v>
      </c>
      <c r="D54" s="103">
        <f>SUM(D48:D52)</f>
        <v>48569</v>
      </c>
      <c r="E54" s="104">
        <f>SUM(E48:E52)</f>
        <v>49816</v>
      </c>
    </row>
    <row r="55" spans="1:5" ht="12.75" customHeight="1">
      <c r="A55" s="96"/>
      <c r="B55" s="97"/>
      <c r="C55" s="98"/>
      <c r="D55" s="101"/>
      <c r="E55" s="102"/>
    </row>
    <row r="56" spans="1:5" s="95" customFormat="1" ht="12.75" customHeight="1">
      <c r="A56" s="90"/>
      <c r="B56" s="91" t="s">
        <v>1622</v>
      </c>
      <c r="C56" s="92"/>
      <c r="D56" s="103">
        <f>D22+D29+D44+D54</f>
        <v>-8395</v>
      </c>
      <c r="E56" s="104">
        <f>E22+E29+E44+E54</f>
        <v>-4621</v>
      </c>
    </row>
    <row r="57" spans="1:5" ht="12.75" customHeight="1">
      <c r="A57" s="96"/>
      <c r="B57" s="97"/>
      <c r="C57" s="98"/>
      <c r="D57" s="101"/>
      <c r="E57" s="102"/>
    </row>
    <row r="58" spans="1:5" s="95" customFormat="1" ht="12.75" customHeight="1">
      <c r="A58" s="90" t="s">
        <v>1623</v>
      </c>
      <c r="B58" s="91"/>
      <c r="C58" s="92"/>
      <c r="D58" s="103">
        <f>E60</f>
        <v>18803</v>
      </c>
      <c r="E58" s="104">
        <v>23424</v>
      </c>
    </row>
    <row r="59" spans="1:5" ht="12.75" customHeight="1">
      <c r="A59" s="96"/>
      <c r="B59" s="97"/>
      <c r="C59" s="98"/>
      <c r="D59" s="93"/>
      <c r="E59" s="105"/>
    </row>
    <row r="60" spans="1:5" s="95" customFormat="1" ht="12.75" customHeight="1">
      <c r="A60" s="90" t="s">
        <v>1624</v>
      </c>
      <c r="B60" s="91"/>
      <c r="C60" s="92"/>
      <c r="D60" s="106">
        <f>D56+D58</f>
        <v>10408</v>
      </c>
      <c r="E60" s="107">
        <f>E56+E58</f>
        <v>18803</v>
      </c>
    </row>
    <row r="61" ht="12.75">
      <c r="D61" s="109"/>
    </row>
    <row r="62" ht="6" customHeight="1" hidden="1">
      <c r="D62" s="109"/>
    </row>
    <row r="63" spans="1:4" ht="12.75" hidden="1">
      <c r="A63" s="111" t="s">
        <v>1625</v>
      </c>
      <c r="D63" s="109"/>
    </row>
    <row r="64" spans="2:4" ht="12.75" hidden="1">
      <c r="B64" s="111" t="s">
        <v>1626</v>
      </c>
      <c r="D64" s="109"/>
    </row>
    <row r="65" spans="2:4" ht="12.75" hidden="1">
      <c r="B65" s="108" t="s">
        <v>1627</v>
      </c>
      <c r="D65" s="112"/>
    </row>
    <row r="66" spans="2:4" ht="12.75" hidden="1">
      <c r="B66" s="108" t="s">
        <v>1628</v>
      </c>
      <c r="D66" s="109"/>
    </row>
    <row r="67" spans="3:4" ht="12.75" hidden="1">
      <c r="C67" s="81" t="s">
        <v>1626</v>
      </c>
      <c r="D67" s="109"/>
    </row>
    <row r="68" spans="3:4" ht="12.75" hidden="1">
      <c r="C68" s="81" t="s">
        <v>1629</v>
      </c>
      <c r="D68" s="109"/>
    </row>
    <row r="69" spans="3:4" ht="12.75" hidden="1">
      <c r="C69" s="81" t="s">
        <v>1630</v>
      </c>
      <c r="D69" s="109"/>
    </row>
    <row r="70" spans="3:4" ht="12.75" hidden="1">
      <c r="C70" s="81" t="s">
        <v>1631</v>
      </c>
      <c r="D70" s="109"/>
    </row>
    <row r="71" spans="3:4" ht="12.75" hidden="1">
      <c r="C71" s="81" t="s">
        <v>1632</v>
      </c>
      <c r="D71" s="109"/>
    </row>
    <row r="72" spans="3:4" ht="12.75" hidden="1">
      <c r="C72" s="81" t="s">
        <v>1633</v>
      </c>
      <c r="D72" s="109"/>
    </row>
    <row r="73" spans="3:4" ht="12.75" hidden="1">
      <c r="C73" s="81" t="s">
        <v>1634</v>
      </c>
      <c r="D73" s="109"/>
    </row>
    <row r="74" spans="3:4" ht="12.75" hidden="1">
      <c r="C74" s="81" t="s">
        <v>1635</v>
      </c>
      <c r="D74" s="109"/>
    </row>
    <row r="75" spans="1:5" s="45" customFormat="1" ht="12.75" hidden="1">
      <c r="A75" s="34"/>
      <c r="B75" s="34"/>
      <c r="C75" s="2" t="s">
        <v>1636</v>
      </c>
      <c r="D75" s="113"/>
      <c r="E75" s="114"/>
    </row>
    <row r="76" ht="6" customHeight="1" hidden="1"/>
    <row r="77" spans="1:5" s="95" customFormat="1" ht="13.5" hidden="1" thickBot="1">
      <c r="A77" s="111"/>
      <c r="B77" s="111"/>
      <c r="C77" s="95" t="s">
        <v>1637</v>
      </c>
      <c r="D77" s="116">
        <f>SUM(D65:D75)</f>
        <v>0</v>
      </c>
      <c r="E77" s="117"/>
    </row>
    <row r="82" ht="12.75">
      <c r="A82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6"/>
  <sheetViews>
    <sheetView workbookViewId="0" topLeftCell="B2">
      <selection activeCell="B9" sqref="B9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6.7109375" style="2" customWidth="1" collapsed="1"/>
    <col min="8" max="8" width="16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6.7109375" style="2" customWidth="1" collapsed="1"/>
    <col min="17" max="20" width="18.7109375" style="2" hidden="1" customWidth="1" outlineLevel="1"/>
    <col min="21" max="21" width="16.7109375" style="2" customWidth="1" collapsed="1"/>
    <col min="22" max="22" width="16.7109375" style="2" customWidth="1"/>
    <col min="23" max="23" width="16.7109375" style="118" customWidth="1"/>
    <col min="24" max="24" width="18.7109375" style="2" hidden="1" customWidth="1"/>
    <col min="25" max="25" width="18.7109375" style="119" hidden="1" customWidth="1"/>
    <col min="26" max="29" width="0" style="119" hidden="1" customWidth="1"/>
    <col min="30" max="16384" width="9.140625" style="119" customWidth="1"/>
  </cols>
  <sheetData>
    <row r="1" spans="1:25" ht="12.75" hidden="1">
      <c r="A1" s="2" t="s">
        <v>1638</v>
      </c>
      <c r="B1" s="34" t="s">
        <v>1486</v>
      </c>
      <c r="C1" s="2" t="s">
        <v>1487</v>
      </c>
      <c r="D1" s="34" t="s">
        <v>1639</v>
      </c>
      <c r="E1" s="2" t="s">
        <v>1640</v>
      </c>
      <c r="F1" s="2" t="s">
        <v>1641</v>
      </c>
      <c r="G1" s="2" t="s">
        <v>1488</v>
      </c>
      <c r="H1" s="2" t="s">
        <v>1642</v>
      </c>
      <c r="I1" s="2" t="s">
        <v>1643</v>
      </c>
      <c r="J1" s="2" t="s">
        <v>1644</v>
      </c>
      <c r="K1" s="2" t="s">
        <v>1645</v>
      </c>
      <c r="L1" s="2" t="s">
        <v>1488</v>
      </c>
      <c r="M1" s="2" t="s">
        <v>1646</v>
      </c>
      <c r="N1" s="2" t="s">
        <v>1647</v>
      </c>
      <c r="O1" s="2" t="s">
        <v>1648</v>
      </c>
      <c r="P1" s="2" t="s">
        <v>1488</v>
      </c>
      <c r="Q1" s="2" t="s">
        <v>1649</v>
      </c>
      <c r="R1" s="2" t="s">
        <v>1650</v>
      </c>
      <c r="S1" s="2" t="s">
        <v>1651</v>
      </c>
      <c r="T1" s="2" t="s">
        <v>1652</v>
      </c>
      <c r="U1" s="2" t="s">
        <v>1488</v>
      </c>
      <c r="V1" s="2" t="s">
        <v>1653</v>
      </c>
      <c r="W1" s="118" t="s">
        <v>1488</v>
      </c>
      <c r="X1" s="2" t="s">
        <v>1654</v>
      </c>
      <c r="Y1" s="119" t="s">
        <v>1488</v>
      </c>
    </row>
    <row r="2" spans="1:25" s="125" customFormat="1" ht="15.75" customHeight="1">
      <c r="A2" s="120"/>
      <c r="B2" s="49" t="str">
        <f>"University of Missouri - "&amp;RBN</f>
        <v>University of Missouri - St. Louis</v>
      </c>
      <c r="C2" s="121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2"/>
      <c r="Y2" s="124"/>
    </row>
    <row r="3" spans="1:25" s="129" customFormat="1" ht="15.75" customHeight="1">
      <c r="A3" s="126"/>
      <c r="B3" s="54" t="s">
        <v>1655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27"/>
      <c r="X3" s="13"/>
      <c r="Y3" s="128"/>
    </row>
    <row r="4" spans="1:29" ht="15.75" customHeight="1">
      <c r="A4" s="130"/>
      <c r="B4" s="131" t="str">
        <f>"  As of "&amp;TEXT(Z4,"MMMM DD, YYY")</f>
        <v>  As of June 30, 2004</v>
      </c>
      <c r="C4" s="16"/>
      <c r="D4" s="16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2"/>
      <c r="Y4" s="134"/>
      <c r="Z4" s="2" t="s">
        <v>1656</v>
      </c>
      <c r="AC4" s="119" t="s">
        <v>1657</v>
      </c>
    </row>
    <row r="5" spans="1:26" ht="12.75" customHeight="1">
      <c r="A5" s="130"/>
      <c r="B5" s="135"/>
      <c r="C5" s="136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37"/>
      <c r="Y5" s="139"/>
      <c r="Z5" s="2"/>
    </row>
    <row r="6" spans="1:25" ht="12.75">
      <c r="A6" s="22"/>
      <c r="B6" s="140"/>
      <c r="C6" s="141"/>
      <c r="D6" s="142"/>
      <c r="E6" s="27"/>
      <c r="F6" s="27"/>
      <c r="G6" s="140"/>
      <c r="H6" s="142"/>
      <c r="I6" s="143"/>
      <c r="J6" s="143"/>
      <c r="K6" s="144"/>
      <c r="L6" s="144"/>
      <c r="M6" s="143" t="s">
        <v>1532</v>
      </c>
      <c r="N6" s="143" t="s">
        <v>1658</v>
      </c>
      <c r="O6" s="143" t="s">
        <v>1659</v>
      </c>
      <c r="P6" s="144"/>
      <c r="Q6" s="145" t="s">
        <v>1660</v>
      </c>
      <c r="R6" s="146"/>
      <c r="S6" s="146"/>
      <c r="T6" s="146"/>
      <c r="U6" s="147"/>
      <c r="V6" s="148"/>
      <c r="W6" s="144" t="s">
        <v>1661</v>
      </c>
      <c r="X6" s="148"/>
      <c r="Y6" s="144" t="s">
        <v>1661</v>
      </c>
    </row>
    <row r="7" spans="1:25" ht="12.75">
      <c r="A7" s="22"/>
      <c r="B7" s="149"/>
      <c r="C7" s="29"/>
      <c r="D7" s="150"/>
      <c r="E7" s="27"/>
      <c r="F7" s="27"/>
      <c r="G7" s="149"/>
      <c r="H7" s="150"/>
      <c r="I7" s="143" t="s">
        <v>1532</v>
      </c>
      <c r="J7" s="143" t="s">
        <v>1658</v>
      </c>
      <c r="K7" s="143" t="s">
        <v>1659</v>
      </c>
      <c r="L7" s="151"/>
      <c r="M7" s="143" t="s">
        <v>1662</v>
      </c>
      <c r="N7" s="143" t="s">
        <v>1662</v>
      </c>
      <c r="O7" s="143" t="s">
        <v>1662</v>
      </c>
      <c r="P7" s="151" t="s">
        <v>1662</v>
      </c>
      <c r="Q7" s="143" t="s">
        <v>1532</v>
      </c>
      <c r="R7" s="143" t="s">
        <v>1663</v>
      </c>
      <c r="S7" s="152"/>
      <c r="T7" s="152"/>
      <c r="U7" s="151"/>
      <c r="V7" s="153"/>
      <c r="W7" s="151" t="s">
        <v>1664</v>
      </c>
      <c r="X7" s="153"/>
      <c r="Y7" s="151" t="s">
        <v>1664</v>
      </c>
    </row>
    <row r="8" spans="1:25" ht="12.75">
      <c r="A8" s="22"/>
      <c r="B8" s="149"/>
      <c r="C8" s="29"/>
      <c r="D8" s="150"/>
      <c r="E8" s="154"/>
      <c r="F8" s="154"/>
      <c r="G8" s="155" t="s">
        <v>1665</v>
      </c>
      <c r="H8" s="155"/>
      <c r="I8" s="143" t="s">
        <v>1666</v>
      </c>
      <c r="J8" s="143" t="s">
        <v>1666</v>
      </c>
      <c r="K8" s="143" t="s">
        <v>1666</v>
      </c>
      <c r="L8" s="151" t="s">
        <v>1666</v>
      </c>
      <c r="M8" s="143" t="s">
        <v>1667</v>
      </c>
      <c r="N8" s="143" t="s">
        <v>1667</v>
      </c>
      <c r="O8" s="143" t="s">
        <v>1667</v>
      </c>
      <c r="P8" s="151" t="s">
        <v>1667</v>
      </c>
      <c r="Q8" s="143" t="s">
        <v>1668</v>
      </c>
      <c r="R8" s="143" t="s">
        <v>1668</v>
      </c>
      <c r="S8" s="143" t="s">
        <v>1669</v>
      </c>
      <c r="T8" s="143" t="s">
        <v>1670</v>
      </c>
      <c r="U8" s="151" t="s">
        <v>1671</v>
      </c>
      <c r="V8" s="153"/>
      <c r="W8" s="151" t="s">
        <v>1672</v>
      </c>
      <c r="X8" s="151" t="s">
        <v>1673</v>
      </c>
      <c r="Y8" s="151" t="s">
        <v>1674</v>
      </c>
    </row>
    <row r="9" spans="1:25" ht="12.75">
      <c r="A9" s="22"/>
      <c r="B9" s="156"/>
      <c r="C9" s="157"/>
      <c r="D9" s="158"/>
      <c r="E9" s="143" t="s">
        <v>1532</v>
      </c>
      <c r="F9" s="143" t="s">
        <v>1675</v>
      </c>
      <c r="G9" s="143" t="s">
        <v>1532</v>
      </c>
      <c r="H9" s="143" t="s">
        <v>1658</v>
      </c>
      <c r="I9" s="143" t="s">
        <v>1664</v>
      </c>
      <c r="J9" s="143" t="s">
        <v>1664</v>
      </c>
      <c r="K9" s="143" t="s">
        <v>1664</v>
      </c>
      <c r="L9" s="159" t="s">
        <v>1664</v>
      </c>
      <c r="M9" s="143" t="s">
        <v>1664</v>
      </c>
      <c r="N9" s="143" t="s">
        <v>1664</v>
      </c>
      <c r="O9" s="143" t="s">
        <v>1664</v>
      </c>
      <c r="P9" s="159" t="s">
        <v>1664</v>
      </c>
      <c r="Q9" s="143" t="s">
        <v>1676</v>
      </c>
      <c r="R9" s="143" t="s">
        <v>1676</v>
      </c>
      <c r="S9" s="143" t="s">
        <v>1673</v>
      </c>
      <c r="T9" s="143" t="s">
        <v>1677</v>
      </c>
      <c r="U9" s="159" t="s">
        <v>1664</v>
      </c>
      <c r="V9" s="159" t="s">
        <v>1678</v>
      </c>
      <c r="W9" s="159" t="s">
        <v>1673</v>
      </c>
      <c r="X9" s="159" t="s">
        <v>1664</v>
      </c>
      <c r="Y9" s="159" t="s">
        <v>1673</v>
      </c>
    </row>
    <row r="10" spans="1:25" ht="12.75" customHeight="1">
      <c r="A10" s="22"/>
      <c r="B10" s="23"/>
      <c r="C10" s="160"/>
      <c r="D10" s="24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54"/>
    </row>
    <row r="11" spans="1:25" ht="12.75" customHeight="1">
      <c r="A11" s="29"/>
      <c r="B11" s="23" t="s">
        <v>1493</v>
      </c>
      <c r="C11" s="160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43"/>
      <c r="X11" s="27"/>
      <c r="Y11" s="154"/>
    </row>
    <row r="12" spans="1:25" ht="12.75" customHeight="1">
      <c r="A12" s="34"/>
      <c r="B12" s="30"/>
      <c r="C12" s="16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2"/>
      <c r="X12" s="32"/>
      <c r="Y12" s="154"/>
    </row>
    <row r="13" spans="1:25" ht="12.75" customHeight="1">
      <c r="A13" s="29"/>
      <c r="B13" s="23" t="s">
        <v>1494</v>
      </c>
      <c r="C13" s="160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43"/>
      <c r="X13" s="27"/>
      <c r="Y13" s="154"/>
    </row>
    <row r="14" spans="1:25" ht="12.75" customHeight="1">
      <c r="A14" s="161" t="s">
        <v>1679</v>
      </c>
      <c r="B14" s="30"/>
      <c r="C14" s="161" t="s">
        <v>1495</v>
      </c>
      <c r="D14" s="31"/>
      <c r="E14" s="32">
        <v>0</v>
      </c>
      <c r="F14" s="32">
        <v>0</v>
      </c>
      <c r="G14" s="35">
        <f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>I14+J14+K14</f>
        <v>0</v>
      </c>
      <c r="M14" s="35">
        <v>0</v>
      </c>
      <c r="N14" s="35">
        <v>0</v>
      </c>
      <c r="O14" s="35">
        <v>0</v>
      </c>
      <c r="P14" s="35">
        <f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>Q14+R14+S14+T14</f>
        <v>0</v>
      </c>
      <c r="V14" s="35">
        <v>0</v>
      </c>
      <c r="W14" s="163">
        <f>G14+H14+L14+P14+U14+V14</f>
        <v>0</v>
      </c>
      <c r="X14" s="32">
        <v>0</v>
      </c>
      <c r="Y14" s="164">
        <f>W14+X14</f>
        <v>0</v>
      </c>
    </row>
    <row r="15" spans="1:25" ht="12.75" hidden="1" outlineLevel="1">
      <c r="A15" s="2" t="s">
        <v>1680</v>
      </c>
      <c r="C15" s="2" t="s">
        <v>1681</v>
      </c>
      <c r="D15" s="34" t="s">
        <v>1682</v>
      </c>
      <c r="E15" s="2">
        <v>64120</v>
      </c>
      <c r="F15" s="2">
        <v>0</v>
      </c>
      <c r="G15" s="165">
        <f aca="true" t="shared" si="0" ref="G15:G23">E15+F15</f>
        <v>64120</v>
      </c>
      <c r="H15" s="165">
        <v>0</v>
      </c>
      <c r="I15" s="165">
        <v>0</v>
      </c>
      <c r="J15" s="165">
        <v>0</v>
      </c>
      <c r="K15" s="165">
        <v>0</v>
      </c>
      <c r="L15" s="165">
        <f aca="true" t="shared" si="1" ref="L15:L23">I15+J15+K15</f>
        <v>0</v>
      </c>
      <c r="M15" s="165">
        <v>0</v>
      </c>
      <c r="N15" s="165">
        <v>0</v>
      </c>
      <c r="O15" s="165">
        <v>0</v>
      </c>
      <c r="P15" s="165">
        <f aca="true" t="shared" si="2" ref="P15:P23">M15+N15+O15</f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f aca="true" t="shared" si="3" ref="U15:U23">Q15+R15+S15+T15</f>
        <v>0</v>
      </c>
      <c r="V15" s="165">
        <v>0</v>
      </c>
      <c r="W15" s="166">
        <f aca="true" t="shared" si="4" ref="W15:W23">G15+H15+L15+P15+U15+V15</f>
        <v>64120</v>
      </c>
      <c r="X15" s="2">
        <v>0</v>
      </c>
      <c r="Y15" s="167">
        <f aca="true" t="shared" si="5" ref="Y15:Y23">W15+X15</f>
        <v>64120</v>
      </c>
    </row>
    <row r="16" spans="1:25" ht="12.75" hidden="1" outlineLevel="1">
      <c r="A16" s="2" t="s">
        <v>1683</v>
      </c>
      <c r="C16" s="2" t="s">
        <v>1684</v>
      </c>
      <c r="D16" s="34" t="s">
        <v>1685</v>
      </c>
      <c r="E16" s="2">
        <v>0</v>
      </c>
      <c r="F16" s="2">
        <v>0</v>
      </c>
      <c r="G16" s="165">
        <f t="shared" si="0"/>
        <v>0</v>
      </c>
      <c r="H16" s="165">
        <v>5777</v>
      </c>
      <c r="I16" s="165">
        <v>0</v>
      </c>
      <c r="J16" s="165">
        <v>0</v>
      </c>
      <c r="K16" s="165">
        <v>0</v>
      </c>
      <c r="L16" s="165">
        <f t="shared" si="1"/>
        <v>0</v>
      </c>
      <c r="M16" s="165">
        <v>0</v>
      </c>
      <c r="N16" s="165">
        <v>0</v>
      </c>
      <c r="O16" s="165">
        <v>0</v>
      </c>
      <c r="P16" s="165">
        <f t="shared" si="2"/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f t="shared" si="3"/>
        <v>0</v>
      </c>
      <c r="V16" s="165">
        <v>0</v>
      </c>
      <c r="W16" s="166">
        <f t="shared" si="4"/>
        <v>5777</v>
      </c>
      <c r="X16" s="2">
        <v>0</v>
      </c>
      <c r="Y16" s="167">
        <f t="shared" si="5"/>
        <v>5777</v>
      </c>
    </row>
    <row r="17" spans="1:25" ht="12.75" hidden="1" outlineLevel="1">
      <c r="A17" s="2" t="s">
        <v>1686</v>
      </c>
      <c r="C17" s="2" t="s">
        <v>1687</v>
      </c>
      <c r="D17" s="34" t="s">
        <v>1688</v>
      </c>
      <c r="E17" s="2">
        <v>5755797.02</v>
      </c>
      <c r="F17" s="2">
        <v>0</v>
      </c>
      <c r="G17" s="165">
        <f t="shared" si="0"/>
        <v>5755797.02</v>
      </c>
      <c r="H17" s="165">
        <v>0</v>
      </c>
      <c r="I17" s="165">
        <v>0</v>
      </c>
      <c r="J17" s="165">
        <v>0</v>
      </c>
      <c r="K17" s="165">
        <v>134906.14</v>
      </c>
      <c r="L17" s="165">
        <f t="shared" si="1"/>
        <v>134906.14</v>
      </c>
      <c r="M17" s="165">
        <v>0</v>
      </c>
      <c r="N17" s="165">
        <v>104567.81</v>
      </c>
      <c r="O17" s="165">
        <v>0</v>
      </c>
      <c r="P17" s="165">
        <f t="shared" si="2"/>
        <v>104567.81</v>
      </c>
      <c r="Q17" s="165">
        <v>1453273.27</v>
      </c>
      <c r="R17" s="165">
        <v>15008.77</v>
      </c>
      <c r="S17" s="165">
        <v>0</v>
      </c>
      <c r="T17" s="165">
        <v>0</v>
      </c>
      <c r="U17" s="165">
        <f t="shared" si="3"/>
        <v>1468282.04</v>
      </c>
      <c r="V17" s="165">
        <v>-19961.4</v>
      </c>
      <c r="W17" s="166">
        <f t="shared" si="4"/>
        <v>7443591.6099999985</v>
      </c>
      <c r="X17" s="2">
        <v>0</v>
      </c>
      <c r="Y17" s="167">
        <f t="shared" si="5"/>
        <v>7443591.6099999985</v>
      </c>
    </row>
    <row r="18" spans="1:25" ht="12.75" hidden="1" outlineLevel="1">
      <c r="A18" s="2" t="s">
        <v>1689</v>
      </c>
      <c r="C18" s="2" t="s">
        <v>1690</v>
      </c>
      <c r="D18" s="34" t="s">
        <v>1691</v>
      </c>
      <c r="E18" s="2">
        <v>240</v>
      </c>
      <c r="F18" s="2">
        <v>0</v>
      </c>
      <c r="G18" s="165">
        <f t="shared" si="0"/>
        <v>240</v>
      </c>
      <c r="H18" s="165">
        <v>1650</v>
      </c>
      <c r="I18" s="165">
        <v>0</v>
      </c>
      <c r="J18" s="165">
        <v>0</v>
      </c>
      <c r="K18" s="165">
        <v>0</v>
      </c>
      <c r="L18" s="165">
        <f t="shared" si="1"/>
        <v>0</v>
      </c>
      <c r="M18" s="165">
        <v>0</v>
      </c>
      <c r="N18" s="165">
        <v>0</v>
      </c>
      <c r="O18" s="165">
        <v>0</v>
      </c>
      <c r="P18" s="165">
        <f t="shared" si="2"/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f t="shared" si="3"/>
        <v>0</v>
      </c>
      <c r="V18" s="165">
        <v>0</v>
      </c>
      <c r="W18" s="166">
        <f t="shared" si="4"/>
        <v>1890</v>
      </c>
      <c r="X18" s="2">
        <v>0</v>
      </c>
      <c r="Y18" s="167">
        <f t="shared" si="5"/>
        <v>1890</v>
      </c>
    </row>
    <row r="19" spans="1:25" ht="12.75" hidden="1" outlineLevel="1">
      <c r="A19" s="2" t="s">
        <v>1692</v>
      </c>
      <c r="C19" s="2" t="s">
        <v>1693</v>
      </c>
      <c r="D19" s="34" t="s">
        <v>1694</v>
      </c>
      <c r="E19" s="2">
        <v>0</v>
      </c>
      <c r="F19" s="2">
        <v>0</v>
      </c>
      <c r="G19" s="165">
        <f t="shared" si="0"/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f t="shared" si="1"/>
        <v>0</v>
      </c>
      <c r="M19" s="165">
        <v>0</v>
      </c>
      <c r="N19" s="165">
        <v>1612.48</v>
      </c>
      <c r="O19" s="165">
        <v>0</v>
      </c>
      <c r="P19" s="165">
        <f t="shared" si="2"/>
        <v>1612.48</v>
      </c>
      <c r="Q19" s="165">
        <v>0</v>
      </c>
      <c r="R19" s="165">
        <v>0</v>
      </c>
      <c r="S19" s="165">
        <v>0</v>
      </c>
      <c r="T19" s="165">
        <v>0</v>
      </c>
      <c r="U19" s="165">
        <f t="shared" si="3"/>
        <v>0</v>
      </c>
      <c r="V19" s="165">
        <v>0</v>
      </c>
      <c r="W19" s="166">
        <f t="shared" si="4"/>
        <v>1612.48</v>
      </c>
      <c r="X19" s="2">
        <v>0</v>
      </c>
      <c r="Y19" s="167">
        <f t="shared" si="5"/>
        <v>1612.48</v>
      </c>
    </row>
    <row r="20" spans="1:25" ht="12.75" hidden="1" outlineLevel="1">
      <c r="A20" s="2" t="s">
        <v>1695</v>
      </c>
      <c r="C20" s="2" t="s">
        <v>1696</v>
      </c>
      <c r="D20" s="34" t="s">
        <v>1697</v>
      </c>
      <c r="E20" s="2">
        <v>0</v>
      </c>
      <c r="F20" s="2">
        <v>0</v>
      </c>
      <c r="G20" s="165">
        <f t="shared" si="0"/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f t="shared" si="1"/>
        <v>0</v>
      </c>
      <c r="M20" s="165">
        <v>0</v>
      </c>
      <c r="N20" s="165">
        <v>996841.83</v>
      </c>
      <c r="O20" s="165">
        <v>0</v>
      </c>
      <c r="P20" s="165">
        <f t="shared" si="2"/>
        <v>996841.83</v>
      </c>
      <c r="Q20" s="165">
        <v>0</v>
      </c>
      <c r="R20" s="165">
        <v>0</v>
      </c>
      <c r="S20" s="165">
        <v>0</v>
      </c>
      <c r="T20" s="165">
        <v>0</v>
      </c>
      <c r="U20" s="165">
        <f t="shared" si="3"/>
        <v>0</v>
      </c>
      <c r="V20" s="165">
        <v>0</v>
      </c>
      <c r="W20" s="166">
        <f t="shared" si="4"/>
        <v>996841.83</v>
      </c>
      <c r="X20" s="2">
        <v>0</v>
      </c>
      <c r="Y20" s="167">
        <f t="shared" si="5"/>
        <v>996841.83</v>
      </c>
    </row>
    <row r="21" spans="1:25" ht="12.75" hidden="1" outlineLevel="1">
      <c r="A21" s="2" t="s">
        <v>1698</v>
      </c>
      <c r="C21" s="2" t="s">
        <v>1699</v>
      </c>
      <c r="D21" s="34" t="s">
        <v>1700</v>
      </c>
      <c r="E21" s="2">
        <v>0</v>
      </c>
      <c r="F21" s="2">
        <v>0</v>
      </c>
      <c r="G21" s="165">
        <f t="shared" si="0"/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f t="shared" si="1"/>
        <v>0</v>
      </c>
      <c r="M21" s="165">
        <v>0</v>
      </c>
      <c r="N21" s="165">
        <v>7485.98</v>
      </c>
      <c r="O21" s="165">
        <v>109058.54</v>
      </c>
      <c r="P21" s="165">
        <f t="shared" si="2"/>
        <v>116544.51999999999</v>
      </c>
      <c r="Q21" s="165">
        <v>0</v>
      </c>
      <c r="R21" s="165">
        <v>0</v>
      </c>
      <c r="S21" s="165">
        <v>0</v>
      </c>
      <c r="T21" s="165">
        <v>0</v>
      </c>
      <c r="U21" s="165">
        <f t="shared" si="3"/>
        <v>0</v>
      </c>
      <c r="V21" s="165">
        <v>0</v>
      </c>
      <c r="W21" s="166">
        <f t="shared" si="4"/>
        <v>116544.51999999999</v>
      </c>
      <c r="X21" s="2">
        <v>0</v>
      </c>
      <c r="Y21" s="167">
        <f t="shared" si="5"/>
        <v>116544.51999999999</v>
      </c>
    </row>
    <row r="22" spans="1:25" ht="12.75" hidden="1" outlineLevel="1">
      <c r="A22" s="2" t="s">
        <v>1701</v>
      </c>
      <c r="C22" s="2" t="s">
        <v>1702</v>
      </c>
      <c r="D22" s="34" t="s">
        <v>1703</v>
      </c>
      <c r="E22" s="2">
        <v>0</v>
      </c>
      <c r="F22" s="2">
        <v>0</v>
      </c>
      <c r="G22" s="165">
        <f t="shared" si="0"/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f t="shared" si="1"/>
        <v>0</v>
      </c>
      <c r="M22" s="165">
        <v>0</v>
      </c>
      <c r="N22" s="165">
        <v>3378046.24</v>
      </c>
      <c r="O22" s="165">
        <v>0</v>
      </c>
      <c r="P22" s="165">
        <f t="shared" si="2"/>
        <v>3378046.24</v>
      </c>
      <c r="Q22" s="165">
        <v>0</v>
      </c>
      <c r="R22" s="165">
        <v>0</v>
      </c>
      <c r="S22" s="165">
        <v>0</v>
      </c>
      <c r="T22" s="165">
        <v>0</v>
      </c>
      <c r="U22" s="165">
        <f t="shared" si="3"/>
        <v>0</v>
      </c>
      <c r="V22" s="165">
        <v>0</v>
      </c>
      <c r="W22" s="166">
        <f t="shared" si="4"/>
        <v>3378046.24</v>
      </c>
      <c r="X22" s="2">
        <v>0</v>
      </c>
      <c r="Y22" s="167">
        <f t="shared" si="5"/>
        <v>3378046.24</v>
      </c>
    </row>
    <row r="23" spans="1:25" ht="12.75" hidden="1" outlineLevel="1">
      <c r="A23" s="2" t="s">
        <v>1704</v>
      </c>
      <c r="C23" s="2" t="s">
        <v>1705</v>
      </c>
      <c r="D23" s="34" t="s">
        <v>1706</v>
      </c>
      <c r="E23" s="2">
        <v>-7946223.199999999</v>
      </c>
      <c r="F23" s="2">
        <v>89289.68</v>
      </c>
      <c r="G23" s="165">
        <f t="shared" si="0"/>
        <v>-7856933.52</v>
      </c>
      <c r="H23" s="165">
        <v>6619305.71</v>
      </c>
      <c r="I23" s="165">
        <v>39243.98</v>
      </c>
      <c r="J23" s="165">
        <v>0</v>
      </c>
      <c r="K23" s="165">
        <v>-68251.89</v>
      </c>
      <c r="L23" s="165">
        <f t="shared" si="1"/>
        <v>-29007.909999999996</v>
      </c>
      <c r="M23" s="165">
        <v>0</v>
      </c>
      <c r="N23" s="165">
        <v>-28353.21</v>
      </c>
      <c r="O23" s="165">
        <v>5868.74</v>
      </c>
      <c r="P23" s="165">
        <f t="shared" si="2"/>
        <v>-22484.47</v>
      </c>
      <c r="Q23" s="165">
        <v>-312486.94</v>
      </c>
      <c r="R23" s="165">
        <v>-3227.22</v>
      </c>
      <c r="S23" s="165">
        <v>-142492.94</v>
      </c>
      <c r="T23" s="165">
        <v>142492.94</v>
      </c>
      <c r="U23" s="165">
        <f t="shared" si="3"/>
        <v>-315714.16</v>
      </c>
      <c r="V23" s="165">
        <v>4292.16</v>
      </c>
      <c r="W23" s="166">
        <f t="shared" si="4"/>
        <v>-1600542.1899999995</v>
      </c>
      <c r="X23" s="2">
        <v>0</v>
      </c>
      <c r="Y23" s="167">
        <f t="shared" si="5"/>
        <v>-1600542.1899999995</v>
      </c>
    </row>
    <row r="24" spans="1:25" ht="12.75" customHeight="1" collapsed="1">
      <c r="A24" s="161" t="s">
        <v>1707</v>
      </c>
      <c r="B24" s="30"/>
      <c r="C24" s="161" t="s">
        <v>1708</v>
      </c>
      <c r="D24" s="31"/>
      <c r="E24" s="32">
        <v>-2126066.18</v>
      </c>
      <c r="F24" s="32">
        <v>89289.68</v>
      </c>
      <c r="G24" s="37">
        <f aca="true" t="shared" si="6" ref="G24:G45">E24+F24</f>
        <v>-2036776.5000000002</v>
      </c>
      <c r="H24" s="37">
        <v>6626732.71</v>
      </c>
      <c r="I24" s="37">
        <v>39243.98</v>
      </c>
      <c r="J24" s="37">
        <v>0</v>
      </c>
      <c r="K24" s="37">
        <v>66654.25</v>
      </c>
      <c r="L24" s="37">
        <f aca="true" t="shared" si="7" ref="L24:L45">I24+J24+K24</f>
        <v>105898.23000000001</v>
      </c>
      <c r="M24" s="37">
        <v>0</v>
      </c>
      <c r="N24" s="37">
        <v>4460201.13</v>
      </c>
      <c r="O24" s="37">
        <v>114927.28</v>
      </c>
      <c r="P24" s="37">
        <f aca="true" t="shared" si="8" ref="P24:P45">M24+N24+O24</f>
        <v>4575128.41</v>
      </c>
      <c r="Q24" s="37">
        <v>1140786.33</v>
      </c>
      <c r="R24" s="37">
        <v>11781.55</v>
      </c>
      <c r="S24" s="37">
        <v>-142492.94</v>
      </c>
      <c r="T24" s="37">
        <v>142492.94</v>
      </c>
      <c r="U24" s="37">
        <f aca="true" t="shared" si="9" ref="U24:U45">Q24+R24+S24+T24</f>
        <v>1152567.8800000001</v>
      </c>
      <c r="V24" s="37">
        <v>-15669.24</v>
      </c>
      <c r="W24" s="168">
        <f aca="true" t="shared" si="10" ref="W24:W45">G24+H24+L24+P24+U24+V24</f>
        <v>10407881.490000002</v>
      </c>
      <c r="X24" s="32">
        <v>0</v>
      </c>
      <c r="Y24" s="164">
        <f aca="true" t="shared" si="11" ref="Y24:Y45">W24+X24</f>
        <v>10407881.490000002</v>
      </c>
    </row>
    <row r="25" spans="1:25" ht="12.75" customHeight="1">
      <c r="A25" s="161" t="s">
        <v>1709</v>
      </c>
      <c r="B25" s="30"/>
      <c r="C25" s="161" t="s">
        <v>1710</v>
      </c>
      <c r="D25" s="31"/>
      <c r="E25" s="32">
        <v>0</v>
      </c>
      <c r="F25" s="32">
        <v>0</v>
      </c>
      <c r="G25" s="37">
        <f t="shared" si="6"/>
        <v>0</v>
      </c>
      <c r="H25" s="37">
        <v>0</v>
      </c>
      <c r="I25" s="37">
        <v>0</v>
      </c>
      <c r="J25" s="37">
        <v>0</v>
      </c>
      <c r="K25" s="37">
        <v>0</v>
      </c>
      <c r="L25" s="37">
        <f t="shared" si="7"/>
        <v>0</v>
      </c>
      <c r="M25" s="37">
        <v>0</v>
      </c>
      <c r="N25" s="37">
        <v>0</v>
      </c>
      <c r="O25" s="37">
        <v>0</v>
      </c>
      <c r="P25" s="37">
        <f t="shared" si="8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9"/>
        <v>0</v>
      </c>
      <c r="V25" s="37">
        <v>0</v>
      </c>
      <c r="W25" s="168">
        <f t="shared" si="10"/>
        <v>0</v>
      </c>
      <c r="X25" s="32">
        <v>0</v>
      </c>
      <c r="Y25" s="164">
        <f t="shared" si="11"/>
        <v>0</v>
      </c>
    </row>
    <row r="26" spans="1:25" ht="12.75" hidden="1" outlineLevel="1">
      <c r="A26" s="2" t="s">
        <v>1711</v>
      </c>
      <c r="C26" s="2" t="s">
        <v>1712</v>
      </c>
      <c r="D26" s="34" t="s">
        <v>1713</v>
      </c>
      <c r="E26" s="2">
        <v>0</v>
      </c>
      <c r="F26" s="2">
        <v>0</v>
      </c>
      <c r="G26" s="165">
        <f>E26+F26</f>
        <v>0</v>
      </c>
      <c r="H26" s="165">
        <v>459761.94</v>
      </c>
      <c r="I26" s="165">
        <v>0</v>
      </c>
      <c r="J26" s="165">
        <v>0</v>
      </c>
      <c r="K26" s="165">
        <v>0</v>
      </c>
      <c r="L26" s="165">
        <f t="shared" si="7"/>
        <v>0</v>
      </c>
      <c r="M26" s="165">
        <v>0</v>
      </c>
      <c r="N26" s="165">
        <v>0</v>
      </c>
      <c r="O26" s="165">
        <v>0</v>
      </c>
      <c r="P26" s="165">
        <f t="shared" si="8"/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f>Q26+R26+S26+T26</f>
        <v>0</v>
      </c>
      <c r="V26" s="165">
        <v>0</v>
      </c>
      <c r="W26" s="166">
        <f t="shared" si="10"/>
        <v>459761.94</v>
      </c>
      <c r="X26" s="2">
        <v>0</v>
      </c>
      <c r="Y26" s="167">
        <f>W26+X26</f>
        <v>459761.94</v>
      </c>
    </row>
    <row r="27" spans="1:25" ht="12.75" hidden="1" outlineLevel="1">
      <c r="A27" s="2" t="s">
        <v>1714</v>
      </c>
      <c r="C27" s="2" t="s">
        <v>1715</v>
      </c>
      <c r="D27" s="34" t="s">
        <v>1716</v>
      </c>
      <c r="E27" s="2">
        <v>0</v>
      </c>
      <c r="F27" s="2">
        <v>0</v>
      </c>
      <c r="G27" s="165">
        <f>E27+F27</f>
        <v>0</v>
      </c>
      <c r="H27" s="165">
        <v>883683.3</v>
      </c>
      <c r="I27" s="165">
        <v>0</v>
      </c>
      <c r="J27" s="165">
        <v>0</v>
      </c>
      <c r="K27" s="165">
        <v>0</v>
      </c>
      <c r="L27" s="165">
        <f t="shared" si="7"/>
        <v>0</v>
      </c>
      <c r="M27" s="165">
        <v>0</v>
      </c>
      <c r="N27" s="165">
        <v>0</v>
      </c>
      <c r="O27" s="165">
        <v>0</v>
      </c>
      <c r="P27" s="165">
        <f t="shared" si="8"/>
        <v>0</v>
      </c>
      <c r="Q27" s="165">
        <v>0</v>
      </c>
      <c r="R27" s="165">
        <v>0</v>
      </c>
      <c r="S27" s="165">
        <v>0</v>
      </c>
      <c r="T27" s="165">
        <v>0</v>
      </c>
      <c r="U27" s="165">
        <f>Q27+R27+S27+T27</f>
        <v>0</v>
      </c>
      <c r="V27" s="165">
        <v>0</v>
      </c>
      <c r="W27" s="166">
        <f t="shared" si="10"/>
        <v>883683.3</v>
      </c>
      <c r="X27" s="2">
        <v>0</v>
      </c>
      <c r="Y27" s="167">
        <f>W27+X27</f>
        <v>883683.3</v>
      </c>
    </row>
    <row r="28" spans="1:25" ht="12.75" customHeight="1" collapsed="1">
      <c r="A28" s="161" t="s">
        <v>1717</v>
      </c>
      <c r="B28" s="30"/>
      <c r="C28" s="161" t="s">
        <v>1718</v>
      </c>
      <c r="D28" s="31"/>
      <c r="E28" s="32">
        <v>0</v>
      </c>
      <c r="F28" s="32">
        <v>0</v>
      </c>
      <c r="G28" s="37">
        <f t="shared" si="6"/>
        <v>0</v>
      </c>
      <c r="H28" s="37">
        <v>1343445.24</v>
      </c>
      <c r="I28" s="37">
        <v>0</v>
      </c>
      <c r="J28" s="37">
        <v>0</v>
      </c>
      <c r="K28" s="37">
        <v>0</v>
      </c>
      <c r="L28" s="37">
        <f t="shared" si="7"/>
        <v>0</v>
      </c>
      <c r="M28" s="37">
        <v>0</v>
      </c>
      <c r="N28" s="37">
        <v>0</v>
      </c>
      <c r="O28" s="37">
        <v>0</v>
      </c>
      <c r="P28" s="37">
        <f t="shared" si="8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9"/>
        <v>0</v>
      </c>
      <c r="V28" s="37">
        <v>0</v>
      </c>
      <c r="W28" s="168">
        <f t="shared" si="10"/>
        <v>1343445.24</v>
      </c>
      <c r="X28" s="32">
        <v>0</v>
      </c>
      <c r="Y28" s="164">
        <f t="shared" si="11"/>
        <v>1343445.24</v>
      </c>
    </row>
    <row r="29" spans="1:25" ht="12.75" customHeight="1">
      <c r="A29" s="161" t="s">
        <v>1719</v>
      </c>
      <c r="B29" s="30"/>
      <c r="C29" s="161" t="s">
        <v>1720</v>
      </c>
      <c r="D29" s="31"/>
      <c r="E29" s="32">
        <v>0</v>
      </c>
      <c r="F29" s="32">
        <v>0</v>
      </c>
      <c r="G29" s="37">
        <f t="shared" si="6"/>
        <v>0</v>
      </c>
      <c r="H29" s="37">
        <v>0</v>
      </c>
      <c r="I29" s="37">
        <v>0</v>
      </c>
      <c r="J29" s="37">
        <v>0</v>
      </c>
      <c r="K29" s="37">
        <v>0</v>
      </c>
      <c r="L29" s="37">
        <f t="shared" si="7"/>
        <v>0</v>
      </c>
      <c r="M29" s="37">
        <v>0</v>
      </c>
      <c r="N29" s="37">
        <v>0</v>
      </c>
      <c r="O29" s="37">
        <v>0</v>
      </c>
      <c r="P29" s="37">
        <f t="shared" si="8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9"/>
        <v>0</v>
      </c>
      <c r="V29" s="37">
        <v>0</v>
      </c>
      <c r="W29" s="168">
        <f t="shared" si="10"/>
        <v>0</v>
      </c>
      <c r="X29" s="32">
        <v>0</v>
      </c>
      <c r="Y29" s="164">
        <f t="shared" si="11"/>
        <v>0</v>
      </c>
    </row>
    <row r="30" spans="1:25" ht="12.75" hidden="1" outlineLevel="1">
      <c r="A30" s="2" t="s">
        <v>1721</v>
      </c>
      <c r="C30" s="2" t="s">
        <v>1722</v>
      </c>
      <c r="D30" s="34" t="s">
        <v>1723</v>
      </c>
      <c r="E30" s="2">
        <v>0</v>
      </c>
      <c r="F30" s="2">
        <v>0</v>
      </c>
      <c r="G30" s="165">
        <f>E30+F30</f>
        <v>0</v>
      </c>
      <c r="H30" s="165">
        <v>472128.33</v>
      </c>
      <c r="I30" s="165">
        <v>0</v>
      </c>
      <c r="J30" s="165">
        <v>0</v>
      </c>
      <c r="K30" s="165">
        <v>0</v>
      </c>
      <c r="L30" s="165">
        <f t="shared" si="7"/>
        <v>0</v>
      </c>
      <c r="M30" s="165">
        <v>0</v>
      </c>
      <c r="N30" s="165">
        <v>0</v>
      </c>
      <c r="O30" s="165">
        <v>0</v>
      </c>
      <c r="P30" s="165">
        <f t="shared" si="8"/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f>Q30+R30+S30+T30</f>
        <v>0</v>
      </c>
      <c r="V30" s="165">
        <v>0</v>
      </c>
      <c r="W30" s="166">
        <f t="shared" si="10"/>
        <v>472128.33</v>
      </c>
      <c r="X30" s="2">
        <v>0</v>
      </c>
      <c r="Y30" s="167">
        <f>W30+X30</f>
        <v>472128.33</v>
      </c>
    </row>
    <row r="31" spans="1:25" ht="12.75" customHeight="1" collapsed="1">
      <c r="A31" s="161" t="s">
        <v>1724</v>
      </c>
      <c r="B31" s="30"/>
      <c r="C31" s="161" t="s">
        <v>1499</v>
      </c>
      <c r="D31" s="31"/>
      <c r="E31" s="32">
        <v>0</v>
      </c>
      <c r="F31" s="32">
        <v>0</v>
      </c>
      <c r="G31" s="37">
        <f t="shared" si="6"/>
        <v>0</v>
      </c>
      <c r="H31" s="37">
        <v>472128.33</v>
      </c>
      <c r="I31" s="37">
        <v>0</v>
      </c>
      <c r="J31" s="37">
        <v>0</v>
      </c>
      <c r="K31" s="37">
        <v>0</v>
      </c>
      <c r="L31" s="37">
        <f t="shared" si="7"/>
        <v>0</v>
      </c>
      <c r="M31" s="37">
        <v>0</v>
      </c>
      <c r="N31" s="37">
        <v>0</v>
      </c>
      <c r="O31" s="37">
        <v>0</v>
      </c>
      <c r="P31" s="37">
        <f t="shared" si="8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9"/>
        <v>0</v>
      </c>
      <c r="V31" s="37">
        <v>0</v>
      </c>
      <c r="W31" s="168">
        <f t="shared" si="10"/>
        <v>472128.33</v>
      </c>
      <c r="X31" s="32">
        <v>0</v>
      </c>
      <c r="Y31" s="164">
        <f t="shared" si="11"/>
        <v>472128.33</v>
      </c>
    </row>
    <row r="32" spans="1:25" ht="12.75" hidden="1" outlineLevel="1">
      <c r="A32" s="2" t="s">
        <v>1725</v>
      </c>
      <c r="C32" s="2" t="s">
        <v>1726</v>
      </c>
      <c r="D32" s="34" t="s">
        <v>1727</v>
      </c>
      <c r="E32" s="2">
        <v>5664998.35</v>
      </c>
      <c r="F32" s="2">
        <v>0</v>
      </c>
      <c r="G32" s="165">
        <f>E32+F32</f>
        <v>5664998.35</v>
      </c>
      <c r="H32" s="165">
        <v>0</v>
      </c>
      <c r="I32" s="165">
        <v>0</v>
      </c>
      <c r="J32" s="165">
        <v>0</v>
      </c>
      <c r="K32" s="165">
        <v>0</v>
      </c>
      <c r="L32" s="165">
        <f t="shared" si="7"/>
        <v>0</v>
      </c>
      <c r="M32" s="165">
        <v>0</v>
      </c>
      <c r="N32" s="165">
        <v>0</v>
      </c>
      <c r="O32" s="165">
        <v>0</v>
      </c>
      <c r="P32" s="165">
        <f t="shared" si="8"/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f>Q32+R32+S32+T32</f>
        <v>0</v>
      </c>
      <c r="V32" s="165">
        <v>0</v>
      </c>
      <c r="W32" s="166">
        <f t="shared" si="10"/>
        <v>5664998.35</v>
      </c>
      <c r="X32" s="2">
        <v>0</v>
      </c>
      <c r="Y32" s="167">
        <f>W32+X32</f>
        <v>5664998.35</v>
      </c>
    </row>
    <row r="33" spans="1:25" ht="12.75" hidden="1" outlineLevel="1">
      <c r="A33" s="2" t="s">
        <v>1728</v>
      </c>
      <c r="C33" s="2" t="s">
        <v>1729</v>
      </c>
      <c r="D33" s="34" t="s">
        <v>1730</v>
      </c>
      <c r="E33" s="2">
        <v>109920.75</v>
      </c>
      <c r="F33" s="2">
        <v>-13803.99</v>
      </c>
      <c r="G33" s="165">
        <f>E33+F33</f>
        <v>96116.76</v>
      </c>
      <c r="H33" s="165">
        <v>15500</v>
      </c>
      <c r="I33" s="165">
        <v>0</v>
      </c>
      <c r="J33" s="165">
        <v>0</v>
      </c>
      <c r="K33" s="165">
        <v>0</v>
      </c>
      <c r="L33" s="165">
        <f t="shared" si="7"/>
        <v>0</v>
      </c>
      <c r="M33" s="165">
        <v>0</v>
      </c>
      <c r="N33" s="165">
        <v>0</v>
      </c>
      <c r="O33" s="165">
        <v>0</v>
      </c>
      <c r="P33" s="165">
        <f t="shared" si="8"/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f>Q33+R33+S33+T33</f>
        <v>0</v>
      </c>
      <c r="V33" s="165">
        <v>2210</v>
      </c>
      <c r="W33" s="166">
        <f t="shared" si="10"/>
        <v>113826.76</v>
      </c>
      <c r="X33" s="2">
        <v>0</v>
      </c>
      <c r="Y33" s="167">
        <f>W33+X33</f>
        <v>113826.76</v>
      </c>
    </row>
    <row r="34" spans="1:25" ht="12.75" hidden="1" outlineLevel="1">
      <c r="A34" s="2" t="s">
        <v>1731</v>
      </c>
      <c r="C34" s="2" t="s">
        <v>1732</v>
      </c>
      <c r="D34" s="34" t="s">
        <v>1733</v>
      </c>
      <c r="E34" s="2">
        <v>497349.98</v>
      </c>
      <c r="F34" s="2">
        <v>-73133.31</v>
      </c>
      <c r="G34" s="165">
        <f>E34+F34</f>
        <v>424216.67</v>
      </c>
      <c r="H34" s="165">
        <v>0</v>
      </c>
      <c r="I34" s="165">
        <v>0</v>
      </c>
      <c r="J34" s="165">
        <v>0</v>
      </c>
      <c r="K34" s="165">
        <v>43326.75</v>
      </c>
      <c r="L34" s="165">
        <f t="shared" si="7"/>
        <v>43326.75</v>
      </c>
      <c r="M34" s="165">
        <v>0</v>
      </c>
      <c r="N34" s="165">
        <v>0</v>
      </c>
      <c r="O34" s="165">
        <v>0</v>
      </c>
      <c r="P34" s="165">
        <f t="shared" si="8"/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f>Q34+R34+S34+T34</f>
        <v>0</v>
      </c>
      <c r="V34" s="165">
        <v>0</v>
      </c>
      <c r="W34" s="166">
        <f t="shared" si="10"/>
        <v>467543.42</v>
      </c>
      <c r="X34" s="2">
        <v>0</v>
      </c>
      <c r="Y34" s="167">
        <f>W34+X34</f>
        <v>467543.42</v>
      </c>
    </row>
    <row r="35" spans="1:25" ht="12.75" hidden="1" outlineLevel="1">
      <c r="A35" s="2" t="s">
        <v>1734</v>
      </c>
      <c r="C35" s="2" t="s">
        <v>1735</v>
      </c>
      <c r="D35" s="34" t="s">
        <v>1736</v>
      </c>
      <c r="E35" s="2">
        <v>-657281.35</v>
      </c>
      <c r="F35" s="2">
        <v>0</v>
      </c>
      <c r="G35" s="165">
        <f>E35+F35</f>
        <v>-657281.35</v>
      </c>
      <c r="H35" s="165">
        <v>0</v>
      </c>
      <c r="I35" s="165">
        <v>0</v>
      </c>
      <c r="J35" s="165">
        <v>0</v>
      </c>
      <c r="K35" s="165">
        <v>0</v>
      </c>
      <c r="L35" s="165">
        <f t="shared" si="7"/>
        <v>0</v>
      </c>
      <c r="M35" s="165">
        <v>0</v>
      </c>
      <c r="N35" s="165">
        <v>0</v>
      </c>
      <c r="O35" s="165">
        <v>0</v>
      </c>
      <c r="P35" s="165">
        <f t="shared" si="8"/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f>Q35+R35+S35+T35</f>
        <v>0</v>
      </c>
      <c r="V35" s="165">
        <v>0</v>
      </c>
      <c r="W35" s="166">
        <f t="shared" si="10"/>
        <v>-657281.35</v>
      </c>
      <c r="X35" s="2">
        <v>0</v>
      </c>
      <c r="Y35" s="167">
        <f>W35+X35</f>
        <v>-657281.35</v>
      </c>
    </row>
    <row r="36" spans="1:25" ht="12.75" customHeight="1" collapsed="1">
      <c r="A36" s="161" t="s">
        <v>1737</v>
      </c>
      <c r="B36" s="30"/>
      <c r="C36" s="161" t="s">
        <v>1738</v>
      </c>
      <c r="D36" s="31"/>
      <c r="E36" s="32">
        <v>5614987.73</v>
      </c>
      <c r="F36" s="32">
        <v>-86937.3</v>
      </c>
      <c r="G36" s="37">
        <f t="shared" si="6"/>
        <v>5528050.430000001</v>
      </c>
      <c r="H36" s="37">
        <v>15500</v>
      </c>
      <c r="I36" s="37">
        <v>0</v>
      </c>
      <c r="J36" s="37">
        <v>0</v>
      </c>
      <c r="K36" s="37">
        <v>43326.75</v>
      </c>
      <c r="L36" s="37">
        <f t="shared" si="7"/>
        <v>43326.75</v>
      </c>
      <c r="M36" s="37">
        <v>0</v>
      </c>
      <c r="N36" s="37">
        <v>0</v>
      </c>
      <c r="O36" s="37">
        <v>0</v>
      </c>
      <c r="P36" s="37">
        <f t="shared" si="8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9"/>
        <v>0</v>
      </c>
      <c r="V36" s="37">
        <v>2210</v>
      </c>
      <c r="W36" s="168">
        <f t="shared" si="10"/>
        <v>5589087.180000001</v>
      </c>
      <c r="X36" s="32">
        <v>0</v>
      </c>
      <c r="Y36" s="164">
        <f t="shared" si="11"/>
        <v>5589087.180000001</v>
      </c>
    </row>
    <row r="37" spans="1:25" ht="12.75" customHeight="1">
      <c r="A37" s="161" t="s">
        <v>1739</v>
      </c>
      <c r="B37" s="30"/>
      <c r="C37" s="161" t="s">
        <v>1740</v>
      </c>
      <c r="D37" s="31"/>
      <c r="E37" s="32">
        <v>0</v>
      </c>
      <c r="F37" s="32">
        <v>0</v>
      </c>
      <c r="G37" s="37">
        <f t="shared" si="6"/>
        <v>0</v>
      </c>
      <c r="H37" s="37">
        <v>0</v>
      </c>
      <c r="I37" s="37">
        <v>0</v>
      </c>
      <c r="J37" s="37">
        <v>0</v>
      </c>
      <c r="K37" s="37">
        <v>0</v>
      </c>
      <c r="L37" s="37">
        <f t="shared" si="7"/>
        <v>0</v>
      </c>
      <c r="M37" s="37">
        <v>0</v>
      </c>
      <c r="N37" s="37">
        <v>0</v>
      </c>
      <c r="O37" s="37">
        <v>0</v>
      </c>
      <c r="P37" s="37">
        <f t="shared" si="8"/>
        <v>0</v>
      </c>
      <c r="Q37" s="37">
        <v>0</v>
      </c>
      <c r="R37" s="37">
        <v>0</v>
      </c>
      <c r="S37" s="37">
        <v>0</v>
      </c>
      <c r="T37" s="37">
        <v>0</v>
      </c>
      <c r="U37" s="37">
        <f t="shared" si="9"/>
        <v>0</v>
      </c>
      <c r="V37" s="37">
        <v>0</v>
      </c>
      <c r="W37" s="168">
        <f t="shared" si="10"/>
        <v>0</v>
      </c>
      <c r="X37" s="32">
        <v>0</v>
      </c>
      <c r="Y37" s="164">
        <f t="shared" si="11"/>
        <v>0</v>
      </c>
    </row>
    <row r="38" spans="1:25" ht="12.75" customHeight="1">
      <c r="A38" s="161" t="s">
        <v>1741</v>
      </c>
      <c r="B38" s="30"/>
      <c r="C38" s="161" t="s">
        <v>1742</v>
      </c>
      <c r="D38" s="31"/>
      <c r="E38" s="32">
        <v>0</v>
      </c>
      <c r="F38" s="32">
        <v>0</v>
      </c>
      <c r="G38" s="37">
        <f t="shared" si="6"/>
        <v>0</v>
      </c>
      <c r="H38" s="37">
        <v>0</v>
      </c>
      <c r="I38" s="37">
        <v>0</v>
      </c>
      <c r="J38" s="37">
        <v>0</v>
      </c>
      <c r="K38" s="37">
        <v>0</v>
      </c>
      <c r="L38" s="37">
        <f t="shared" si="7"/>
        <v>0</v>
      </c>
      <c r="M38" s="37">
        <v>0</v>
      </c>
      <c r="N38" s="37">
        <v>0</v>
      </c>
      <c r="O38" s="37">
        <v>0</v>
      </c>
      <c r="P38" s="37">
        <f t="shared" si="8"/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9"/>
        <v>0</v>
      </c>
      <c r="V38" s="37">
        <v>0</v>
      </c>
      <c r="W38" s="168">
        <f t="shared" si="10"/>
        <v>0</v>
      </c>
      <c r="X38" s="32">
        <v>0</v>
      </c>
      <c r="Y38" s="164">
        <f t="shared" si="11"/>
        <v>0</v>
      </c>
    </row>
    <row r="39" spans="1:25" ht="12.75" hidden="1" outlineLevel="1">
      <c r="A39" s="2" t="s">
        <v>1743</v>
      </c>
      <c r="C39" s="2" t="s">
        <v>1501</v>
      </c>
      <c r="D39" s="34" t="s">
        <v>1744</v>
      </c>
      <c r="E39" s="2">
        <v>1704684.6</v>
      </c>
      <c r="F39" s="2">
        <v>0</v>
      </c>
      <c r="G39" s="165">
        <f>E39+F39</f>
        <v>1704684.6</v>
      </c>
      <c r="H39" s="165">
        <v>0</v>
      </c>
      <c r="I39" s="165">
        <v>0</v>
      </c>
      <c r="J39" s="165">
        <v>0</v>
      </c>
      <c r="K39" s="165">
        <v>0</v>
      </c>
      <c r="L39" s="165">
        <f t="shared" si="7"/>
        <v>0</v>
      </c>
      <c r="M39" s="165">
        <v>0</v>
      </c>
      <c r="N39" s="165">
        <v>0</v>
      </c>
      <c r="O39" s="165">
        <v>0</v>
      </c>
      <c r="P39" s="165">
        <f t="shared" si="8"/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f>Q39+R39+S39+T39</f>
        <v>0</v>
      </c>
      <c r="V39" s="165">
        <v>0</v>
      </c>
      <c r="W39" s="166">
        <f t="shared" si="10"/>
        <v>1704684.6</v>
      </c>
      <c r="X39" s="2">
        <v>0</v>
      </c>
      <c r="Y39" s="167">
        <f>W39+X39</f>
        <v>1704684.6</v>
      </c>
    </row>
    <row r="40" spans="1:25" ht="12.75" customHeight="1" collapsed="1">
      <c r="A40" s="161" t="s">
        <v>1745</v>
      </c>
      <c r="B40" s="30"/>
      <c r="C40" s="161" t="s">
        <v>1501</v>
      </c>
      <c r="D40" s="31"/>
      <c r="E40" s="32">
        <v>1704684.6</v>
      </c>
      <c r="F40" s="32">
        <v>0</v>
      </c>
      <c r="G40" s="37">
        <f t="shared" si="6"/>
        <v>1704684.6</v>
      </c>
      <c r="H40" s="37">
        <v>0</v>
      </c>
      <c r="I40" s="37">
        <v>0</v>
      </c>
      <c r="J40" s="37">
        <v>0</v>
      </c>
      <c r="K40" s="37">
        <v>0</v>
      </c>
      <c r="L40" s="37">
        <f t="shared" si="7"/>
        <v>0</v>
      </c>
      <c r="M40" s="37">
        <v>0</v>
      </c>
      <c r="N40" s="37">
        <v>0</v>
      </c>
      <c r="O40" s="37">
        <v>0</v>
      </c>
      <c r="P40" s="37">
        <f t="shared" si="8"/>
        <v>0</v>
      </c>
      <c r="Q40" s="37">
        <v>0</v>
      </c>
      <c r="R40" s="37">
        <v>0</v>
      </c>
      <c r="S40" s="37">
        <v>0</v>
      </c>
      <c r="T40" s="37">
        <v>0</v>
      </c>
      <c r="U40" s="37">
        <f t="shared" si="9"/>
        <v>0</v>
      </c>
      <c r="V40" s="37">
        <v>0</v>
      </c>
      <c r="W40" s="168">
        <f t="shared" si="10"/>
        <v>1704684.6</v>
      </c>
      <c r="X40" s="32">
        <v>0</v>
      </c>
      <c r="Y40" s="164">
        <f t="shared" si="11"/>
        <v>1704684.6</v>
      </c>
    </row>
    <row r="41" spans="1:25" ht="12.75" hidden="1" outlineLevel="1">
      <c r="A41" s="2" t="s">
        <v>1746</v>
      </c>
      <c r="C41" s="2" t="s">
        <v>1747</v>
      </c>
      <c r="D41" s="34" t="s">
        <v>1748</v>
      </c>
      <c r="E41" s="2">
        <v>1975399.67</v>
      </c>
      <c r="F41" s="2">
        <v>0</v>
      </c>
      <c r="G41" s="165">
        <f>E41+F41</f>
        <v>1975399.67</v>
      </c>
      <c r="H41" s="165">
        <v>328544.51</v>
      </c>
      <c r="I41" s="165">
        <v>0</v>
      </c>
      <c r="J41" s="165">
        <v>0</v>
      </c>
      <c r="K41" s="165">
        <v>0</v>
      </c>
      <c r="L41" s="165">
        <f t="shared" si="7"/>
        <v>0</v>
      </c>
      <c r="M41" s="165">
        <v>0</v>
      </c>
      <c r="N41" s="165">
        <v>0</v>
      </c>
      <c r="O41" s="165">
        <v>0</v>
      </c>
      <c r="P41" s="165">
        <f t="shared" si="8"/>
        <v>0</v>
      </c>
      <c r="Q41" s="165">
        <v>0</v>
      </c>
      <c r="R41" s="165">
        <v>0</v>
      </c>
      <c r="S41" s="165">
        <v>0</v>
      </c>
      <c r="T41" s="165">
        <v>0</v>
      </c>
      <c r="U41" s="165">
        <f>Q41+R41+S41+T41</f>
        <v>0</v>
      </c>
      <c r="V41" s="165">
        <v>1495725.93</v>
      </c>
      <c r="W41" s="166">
        <f t="shared" si="10"/>
        <v>3799670.1099999994</v>
      </c>
      <c r="X41" s="2">
        <v>0</v>
      </c>
      <c r="Y41" s="167">
        <f>W41+X41</f>
        <v>3799670.1099999994</v>
      </c>
    </row>
    <row r="42" spans="1:25" ht="12.75" customHeight="1" collapsed="1">
      <c r="A42" s="161" t="s">
        <v>1749</v>
      </c>
      <c r="B42" s="30"/>
      <c r="C42" s="161" t="s">
        <v>1750</v>
      </c>
      <c r="D42" s="31"/>
      <c r="E42" s="32">
        <v>1975399.67</v>
      </c>
      <c r="F42" s="32">
        <v>0</v>
      </c>
      <c r="G42" s="37">
        <f t="shared" si="6"/>
        <v>1975399.67</v>
      </c>
      <c r="H42" s="37">
        <v>328544.51</v>
      </c>
      <c r="I42" s="37">
        <v>0</v>
      </c>
      <c r="J42" s="37">
        <v>0</v>
      </c>
      <c r="K42" s="37">
        <v>0</v>
      </c>
      <c r="L42" s="37">
        <f t="shared" si="7"/>
        <v>0</v>
      </c>
      <c r="M42" s="37">
        <v>0</v>
      </c>
      <c r="N42" s="37">
        <v>0</v>
      </c>
      <c r="O42" s="37">
        <v>0</v>
      </c>
      <c r="P42" s="37">
        <f t="shared" si="8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9"/>
        <v>0</v>
      </c>
      <c r="V42" s="37">
        <v>1495725.93</v>
      </c>
      <c r="W42" s="168">
        <f t="shared" si="10"/>
        <v>3799670.1099999994</v>
      </c>
      <c r="X42" s="32">
        <v>0</v>
      </c>
      <c r="Y42" s="164">
        <f t="shared" si="11"/>
        <v>3799670.1099999994</v>
      </c>
    </row>
    <row r="43" spans="1:25" ht="12.75" hidden="1" outlineLevel="1">
      <c r="A43" s="2" t="s">
        <v>1751</v>
      </c>
      <c r="C43" s="2" t="s">
        <v>1752</v>
      </c>
      <c r="D43" s="34" t="s">
        <v>1753</v>
      </c>
      <c r="E43" s="2">
        <v>0</v>
      </c>
      <c r="F43" s="2">
        <v>0</v>
      </c>
      <c r="G43" s="165">
        <f>E43+F43</f>
        <v>0</v>
      </c>
      <c r="H43" s="165">
        <v>0</v>
      </c>
      <c r="I43" s="165">
        <v>30812.22</v>
      </c>
      <c r="J43" s="165">
        <v>0</v>
      </c>
      <c r="K43" s="165">
        <v>931954.8</v>
      </c>
      <c r="L43" s="165">
        <f t="shared" si="7"/>
        <v>962767.02</v>
      </c>
      <c r="M43" s="165">
        <v>0</v>
      </c>
      <c r="N43" s="165">
        <v>0</v>
      </c>
      <c r="O43" s="165">
        <v>0</v>
      </c>
      <c r="P43" s="165">
        <f t="shared" si="8"/>
        <v>0</v>
      </c>
      <c r="Q43" s="165">
        <v>0</v>
      </c>
      <c r="R43" s="165">
        <v>0</v>
      </c>
      <c r="S43" s="165">
        <v>0</v>
      </c>
      <c r="T43" s="165">
        <v>0</v>
      </c>
      <c r="U43" s="165">
        <f>Q43+R43+S43+T43</f>
        <v>0</v>
      </c>
      <c r="V43" s="165">
        <v>0</v>
      </c>
      <c r="W43" s="166">
        <f t="shared" si="10"/>
        <v>962767.02</v>
      </c>
      <c r="X43" s="2">
        <v>0</v>
      </c>
      <c r="Y43" s="167">
        <f>W43+X43</f>
        <v>962767.02</v>
      </c>
    </row>
    <row r="44" spans="1:25" ht="12.75" customHeight="1" collapsed="1">
      <c r="A44" s="161" t="s">
        <v>1754</v>
      </c>
      <c r="B44" s="30"/>
      <c r="C44" s="161" t="s">
        <v>1500</v>
      </c>
      <c r="D44" s="31"/>
      <c r="E44" s="32">
        <v>0</v>
      </c>
      <c r="F44" s="32">
        <v>0</v>
      </c>
      <c r="G44" s="37">
        <f t="shared" si="6"/>
        <v>0</v>
      </c>
      <c r="H44" s="37">
        <v>0</v>
      </c>
      <c r="I44" s="37">
        <v>30812.22</v>
      </c>
      <c r="J44" s="37">
        <v>0</v>
      </c>
      <c r="K44" s="37">
        <v>931954.8</v>
      </c>
      <c r="L44" s="37">
        <f t="shared" si="7"/>
        <v>962767.02</v>
      </c>
      <c r="M44" s="37">
        <v>0</v>
      </c>
      <c r="N44" s="37">
        <v>0</v>
      </c>
      <c r="O44" s="37">
        <v>0</v>
      </c>
      <c r="P44" s="37">
        <f t="shared" si="8"/>
        <v>0</v>
      </c>
      <c r="Q44" s="37">
        <v>0</v>
      </c>
      <c r="R44" s="37">
        <v>0</v>
      </c>
      <c r="S44" s="37">
        <v>0</v>
      </c>
      <c r="T44" s="37">
        <v>0</v>
      </c>
      <c r="U44" s="37">
        <f t="shared" si="9"/>
        <v>0</v>
      </c>
      <c r="V44" s="37">
        <v>0</v>
      </c>
      <c r="W44" s="168">
        <f t="shared" si="10"/>
        <v>962767.02</v>
      </c>
      <c r="X44" s="32">
        <v>0</v>
      </c>
      <c r="Y44" s="164">
        <f t="shared" si="11"/>
        <v>962767.02</v>
      </c>
    </row>
    <row r="45" spans="1:25" ht="12.75" customHeight="1">
      <c r="A45" s="161" t="s">
        <v>1755</v>
      </c>
      <c r="B45" s="30"/>
      <c r="C45" s="161" t="s">
        <v>1756</v>
      </c>
      <c r="D45" s="31"/>
      <c r="E45" s="32">
        <v>0</v>
      </c>
      <c r="F45" s="32">
        <v>0</v>
      </c>
      <c r="G45" s="37">
        <f t="shared" si="6"/>
        <v>0</v>
      </c>
      <c r="H45" s="37">
        <v>0</v>
      </c>
      <c r="I45" s="37">
        <v>0</v>
      </c>
      <c r="J45" s="37">
        <v>0</v>
      </c>
      <c r="K45" s="37">
        <v>0</v>
      </c>
      <c r="L45" s="37">
        <f t="shared" si="7"/>
        <v>0</v>
      </c>
      <c r="M45" s="37">
        <v>0</v>
      </c>
      <c r="N45" s="37">
        <v>0</v>
      </c>
      <c r="O45" s="37">
        <v>0</v>
      </c>
      <c r="P45" s="37">
        <f t="shared" si="8"/>
        <v>0</v>
      </c>
      <c r="Q45" s="37">
        <v>0</v>
      </c>
      <c r="R45" s="37">
        <v>0</v>
      </c>
      <c r="S45" s="37">
        <v>0</v>
      </c>
      <c r="T45" s="37">
        <v>0</v>
      </c>
      <c r="U45" s="37">
        <f t="shared" si="9"/>
        <v>0</v>
      </c>
      <c r="V45" s="37">
        <v>0</v>
      </c>
      <c r="W45" s="168">
        <f t="shared" si="10"/>
        <v>0</v>
      </c>
      <c r="X45" s="32">
        <v>0</v>
      </c>
      <c r="Y45" s="164">
        <f t="shared" si="11"/>
        <v>0</v>
      </c>
    </row>
    <row r="46" spans="1:25" ht="12.75" customHeight="1">
      <c r="A46" s="34"/>
      <c r="B46" s="30"/>
      <c r="C46" s="161"/>
      <c r="D46" s="31"/>
      <c r="E46" s="32"/>
      <c r="F46" s="32"/>
      <c r="G46" s="37"/>
      <c r="H46" s="37"/>
      <c r="I46" s="37"/>
      <c r="J46" s="37"/>
      <c r="K46" s="37"/>
      <c r="L46" s="40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68"/>
      <c r="X46" s="32"/>
      <c r="Y46" s="154"/>
    </row>
    <row r="47" spans="1:25" s="169" customFormat="1" ht="12.75" customHeight="1">
      <c r="A47" s="29"/>
      <c r="B47" s="23" t="s">
        <v>1503</v>
      </c>
      <c r="C47" s="160"/>
      <c r="D47" s="24"/>
      <c r="E47" s="27">
        <f aca="true" t="shared" si="12" ref="E47:Y47">+E14+E25+E28+E29+E31+E36+E40+E42+E44+E24+E45+E38+E37</f>
        <v>7169005.82</v>
      </c>
      <c r="F47" s="27">
        <f t="shared" si="12"/>
        <v>2352.37999999999</v>
      </c>
      <c r="G47" s="40">
        <f t="shared" si="12"/>
        <v>7171358.200000001</v>
      </c>
      <c r="H47" s="40">
        <f t="shared" si="12"/>
        <v>8786350.79</v>
      </c>
      <c r="I47" s="40">
        <f t="shared" si="12"/>
        <v>70056.20000000001</v>
      </c>
      <c r="J47" s="40">
        <f t="shared" si="12"/>
        <v>0</v>
      </c>
      <c r="K47" s="40">
        <f t="shared" si="12"/>
        <v>1041935.8</v>
      </c>
      <c r="L47" s="40">
        <f t="shared" si="12"/>
        <v>1111992</v>
      </c>
      <c r="M47" s="40">
        <f t="shared" si="12"/>
        <v>0</v>
      </c>
      <c r="N47" s="40">
        <f t="shared" si="12"/>
        <v>4460201.13</v>
      </c>
      <c r="O47" s="40">
        <f t="shared" si="12"/>
        <v>114927.28</v>
      </c>
      <c r="P47" s="40">
        <f t="shared" si="12"/>
        <v>4575128.41</v>
      </c>
      <c r="Q47" s="40">
        <f t="shared" si="12"/>
        <v>1140786.33</v>
      </c>
      <c r="R47" s="40">
        <f t="shared" si="12"/>
        <v>11781.55</v>
      </c>
      <c r="S47" s="40">
        <f t="shared" si="12"/>
        <v>-142492.94</v>
      </c>
      <c r="T47" s="40">
        <f t="shared" si="12"/>
        <v>142492.94</v>
      </c>
      <c r="U47" s="40">
        <f t="shared" si="12"/>
        <v>1152567.8800000001</v>
      </c>
      <c r="V47" s="40">
        <f t="shared" si="12"/>
        <v>1482266.69</v>
      </c>
      <c r="W47" s="40">
        <f t="shared" si="12"/>
        <v>24279663.970000003</v>
      </c>
      <c r="X47" s="27">
        <f t="shared" si="12"/>
        <v>0</v>
      </c>
      <c r="Y47" s="27">
        <f t="shared" si="12"/>
        <v>24279663.970000003</v>
      </c>
    </row>
    <row r="48" spans="1:25" ht="12.75" customHeight="1">
      <c r="A48" s="34"/>
      <c r="B48" s="30"/>
      <c r="C48" s="161"/>
      <c r="D48" s="31"/>
      <c r="E48" s="32"/>
      <c r="F48" s="32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68"/>
      <c r="X48" s="32"/>
      <c r="Y48" s="154"/>
    </row>
    <row r="49" spans="1:25" ht="12.75" customHeight="1">
      <c r="A49" s="29"/>
      <c r="B49" s="23" t="s">
        <v>1504</v>
      </c>
      <c r="C49" s="160"/>
      <c r="D49" s="24"/>
      <c r="E49" s="27"/>
      <c r="F49" s="2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170"/>
      <c r="X49" s="27"/>
      <c r="Y49" s="154"/>
    </row>
    <row r="50" spans="1:25" ht="12.75" customHeight="1">
      <c r="A50" s="34" t="s">
        <v>1757</v>
      </c>
      <c r="B50" s="30"/>
      <c r="C50" s="161" t="s">
        <v>1758</v>
      </c>
      <c r="D50" s="31"/>
      <c r="E50" s="32">
        <v>0</v>
      </c>
      <c r="F50" s="32">
        <v>0</v>
      </c>
      <c r="G50" s="37">
        <f aca="true" t="shared" si="13" ref="G50:G59">E50+F50</f>
        <v>0</v>
      </c>
      <c r="H50" s="37">
        <v>0</v>
      </c>
      <c r="I50" s="37">
        <v>0</v>
      </c>
      <c r="J50" s="37">
        <v>0</v>
      </c>
      <c r="K50" s="37">
        <v>0</v>
      </c>
      <c r="L50" s="37">
        <f aca="true" t="shared" si="14" ref="L50:L59">I50+J50+K50</f>
        <v>0</v>
      </c>
      <c r="M50" s="37">
        <v>0</v>
      </c>
      <c r="N50" s="37">
        <v>0</v>
      </c>
      <c r="O50" s="37">
        <v>0</v>
      </c>
      <c r="P50" s="37">
        <f aca="true" t="shared" si="15" ref="P50:P59">M50+N50+O50</f>
        <v>0</v>
      </c>
      <c r="Q50" s="37">
        <v>0</v>
      </c>
      <c r="R50" s="37">
        <v>0</v>
      </c>
      <c r="S50" s="37">
        <v>0</v>
      </c>
      <c r="T50" s="37">
        <v>0</v>
      </c>
      <c r="U50" s="37">
        <f aca="true" t="shared" si="16" ref="U50:U59">Q50+R50+S50+T50</f>
        <v>0</v>
      </c>
      <c r="V50" s="37">
        <v>0</v>
      </c>
      <c r="W50" s="168">
        <f aca="true" t="shared" si="17" ref="W50:W59">G50+H50+L50+P50+U50+V50</f>
        <v>0</v>
      </c>
      <c r="X50" s="32">
        <v>0</v>
      </c>
      <c r="Y50" s="164">
        <f aca="true" t="shared" si="18" ref="Y50:Y59">W50+X50</f>
        <v>0</v>
      </c>
    </row>
    <row r="51" spans="1:25" ht="12.75" hidden="1" outlineLevel="1">
      <c r="A51" s="2" t="s">
        <v>1759</v>
      </c>
      <c r="C51" s="2" t="s">
        <v>1760</v>
      </c>
      <c r="D51" s="34" t="s">
        <v>1761</v>
      </c>
      <c r="E51" s="2">
        <v>0</v>
      </c>
      <c r="F51" s="2">
        <v>0</v>
      </c>
      <c r="G51" s="165">
        <f t="shared" si="13"/>
        <v>0</v>
      </c>
      <c r="H51" s="165">
        <v>366875.47</v>
      </c>
      <c r="I51" s="165">
        <v>0</v>
      </c>
      <c r="J51" s="165">
        <v>0</v>
      </c>
      <c r="K51" s="165">
        <v>0</v>
      </c>
      <c r="L51" s="165">
        <f t="shared" si="14"/>
        <v>0</v>
      </c>
      <c r="M51" s="165">
        <v>0</v>
      </c>
      <c r="N51" s="165">
        <v>0</v>
      </c>
      <c r="O51" s="165">
        <v>0</v>
      </c>
      <c r="P51" s="165">
        <f t="shared" si="15"/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f t="shared" si="16"/>
        <v>0</v>
      </c>
      <c r="V51" s="165">
        <v>0</v>
      </c>
      <c r="W51" s="166">
        <f t="shared" si="17"/>
        <v>366875.47</v>
      </c>
      <c r="X51" s="2">
        <v>0</v>
      </c>
      <c r="Y51" s="167">
        <f t="shared" si="18"/>
        <v>366875.47</v>
      </c>
    </row>
    <row r="52" spans="1:25" ht="12.75" customHeight="1" collapsed="1">
      <c r="A52" s="161" t="s">
        <v>1762</v>
      </c>
      <c r="B52" s="30"/>
      <c r="C52" s="161" t="s">
        <v>1505</v>
      </c>
      <c r="D52" s="31"/>
      <c r="E52" s="32">
        <v>0</v>
      </c>
      <c r="F52" s="32">
        <v>0</v>
      </c>
      <c r="G52" s="37">
        <f t="shared" si="13"/>
        <v>0</v>
      </c>
      <c r="H52" s="37">
        <v>366875.47</v>
      </c>
      <c r="I52" s="37">
        <v>0</v>
      </c>
      <c r="J52" s="37">
        <v>0</v>
      </c>
      <c r="K52" s="37">
        <v>0</v>
      </c>
      <c r="L52" s="37">
        <f t="shared" si="14"/>
        <v>0</v>
      </c>
      <c r="M52" s="37">
        <v>0</v>
      </c>
      <c r="N52" s="37">
        <v>0</v>
      </c>
      <c r="O52" s="37">
        <v>0</v>
      </c>
      <c r="P52" s="37">
        <f t="shared" si="15"/>
        <v>0</v>
      </c>
      <c r="Q52" s="37">
        <v>0</v>
      </c>
      <c r="R52" s="37">
        <v>0</v>
      </c>
      <c r="S52" s="37">
        <v>0</v>
      </c>
      <c r="T52" s="37">
        <v>0</v>
      </c>
      <c r="U52" s="37">
        <f t="shared" si="16"/>
        <v>0</v>
      </c>
      <c r="V52" s="37">
        <v>0</v>
      </c>
      <c r="W52" s="168">
        <f t="shared" si="17"/>
        <v>366875.47</v>
      </c>
      <c r="X52" s="32">
        <v>0</v>
      </c>
      <c r="Y52" s="164">
        <f t="shared" si="18"/>
        <v>366875.47</v>
      </c>
    </row>
    <row r="53" spans="1:25" ht="12.75" hidden="1" outlineLevel="1">
      <c r="A53" s="2" t="s">
        <v>1763</v>
      </c>
      <c r="C53" s="2" t="s">
        <v>1764</v>
      </c>
      <c r="D53" s="34" t="s">
        <v>1765</v>
      </c>
      <c r="E53" s="2">
        <v>0</v>
      </c>
      <c r="F53" s="2">
        <v>0</v>
      </c>
      <c r="G53" s="165">
        <f t="shared" si="13"/>
        <v>0</v>
      </c>
      <c r="H53" s="165">
        <v>0</v>
      </c>
      <c r="I53" s="165">
        <v>-601084.21</v>
      </c>
      <c r="J53" s="165">
        <v>0</v>
      </c>
      <c r="K53" s="165">
        <v>-635924.95</v>
      </c>
      <c r="L53" s="165">
        <f t="shared" si="14"/>
        <v>-1237009.16</v>
      </c>
      <c r="M53" s="165">
        <v>0</v>
      </c>
      <c r="N53" s="165">
        <v>0</v>
      </c>
      <c r="O53" s="165">
        <v>0</v>
      </c>
      <c r="P53" s="165">
        <f t="shared" si="15"/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f t="shared" si="16"/>
        <v>0</v>
      </c>
      <c r="V53" s="165">
        <v>0</v>
      </c>
      <c r="W53" s="166">
        <f t="shared" si="17"/>
        <v>-1237009.16</v>
      </c>
      <c r="X53" s="2">
        <v>0</v>
      </c>
      <c r="Y53" s="167">
        <f t="shared" si="18"/>
        <v>-1237009.16</v>
      </c>
    </row>
    <row r="54" spans="1:25" ht="12.75" hidden="1" outlineLevel="1">
      <c r="A54" s="2" t="s">
        <v>1766</v>
      </c>
      <c r="C54" s="2" t="s">
        <v>1767</v>
      </c>
      <c r="D54" s="34" t="s">
        <v>1768</v>
      </c>
      <c r="E54" s="2">
        <v>0</v>
      </c>
      <c r="F54" s="2">
        <v>0</v>
      </c>
      <c r="G54" s="165">
        <f t="shared" si="13"/>
        <v>0</v>
      </c>
      <c r="H54" s="165">
        <v>0</v>
      </c>
      <c r="I54" s="165">
        <v>644825</v>
      </c>
      <c r="J54" s="165">
        <v>0</v>
      </c>
      <c r="K54" s="165">
        <v>452035</v>
      </c>
      <c r="L54" s="165">
        <f t="shared" si="14"/>
        <v>1096860</v>
      </c>
      <c r="M54" s="165">
        <v>0</v>
      </c>
      <c r="N54" s="165">
        <v>0</v>
      </c>
      <c r="O54" s="165">
        <v>0</v>
      </c>
      <c r="P54" s="165">
        <f t="shared" si="15"/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f t="shared" si="16"/>
        <v>0</v>
      </c>
      <c r="V54" s="165">
        <v>0</v>
      </c>
      <c r="W54" s="166">
        <f t="shared" si="17"/>
        <v>1096860</v>
      </c>
      <c r="X54" s="2">
        <v>0</v>
      </c>
      <c r="Y54" s="167">
        <f t="shared" si="18"/>
        <v>1096860</v>
      </c>
    </row>
    <row r="55" spans="1:25" ht="12.75" hidden="1" outlineLevel="1">
      <c r="A55" s="2" t="s">
        <v>1769</v>
      </c>
      <c r="C55" s="2" t="s">
        <v>1770</v>
      </c>
      <c r="D55" s="34" t="s">
        <v>1771</v>
      </c>
      <c r="E55" s="2">
        <v>0</v>
      </c>
      <c r="F55" s="2">
        <v>0</v>
      </c>
      <c r="G55" s="165">
        <f t="shared" si="13"/>
        <v>0</v>
      </c>
      <c r="H55" s="165">
        <v>0</v>
      </c>
      <c r="I55" s="165">
        <v>15481.9</v>
      </c>
      <c r="J55" s="165">
        <v>0</v>
      </c>
      <c r="K55" s="165">
        <v>1918663.15</v>
      </c>
      <c r="L55" s="165">
        <f t="shared" si="14"/>
        <v>1934145.0499999998</v>
      </c>
      <c r="M55" s="165">
        <v>0</v>
      </c>
      <c r="N55" s="165">
        <v>0</v>
      </c>
      <c r="O55" s="165">
        <v>0</v>
      </c>
      <c r="P55" s="165">
        <f t="shared" si="15"/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f t="shared" si="16"/>
        <v>0</v>
      </c>
      <c r="V55" s="165">
        <v>0</v>
      </c>
      <c r="W55" s="166">
        <f t="shared" si="17"/>
        <v>1934145.0499999998</v>
      </c>
      <c r="X55" s="2">
        <v>0</v>
      </c>
      <c r="Y55" s="167">
        <f t="shared" si="18"/>
        <v>1934145.0499999998</v>
      </c>
    </row>
    <row r="56" spans="1:25" ht="12.75" hidden="1" outlineLevel="1">
      <c r="A56" s="2" t="s">
        <v>1772</v>
      </c>
      <c r="C56" s="2" t="s">
        <v>1773</v>
      </c>
      <c r="D56" s="34" t="s">
        <v>1774</v>
      </c>
      <c r="E56" s="2">
        <v>0</v>
      </c>
      <c r="F56" s="2">
        <v>0</v>
      </c>
      <c r="G56" s="165">
        <f t="shared" si="13"/>
        <v>0</v>
      </c>
      <c r="H56" s="165">
        <v>0</v>
      </c>
      <c r="I56" s="165">
        <v>-2000</v>
      </c>
      <c r="J56" s="165">
        <v>0</v>
      </c>
      <c r="K56" s="165">
        <v>-4000</v>
      </c>
      <c r="L56" s="165">
        <f t="shared" si="14"/>
        <v>-6000</v>
      </c>
      <c r="M56" s="165">
        <v>0</v>
      </c>
      <c r="N56" s="165">
        <v>0</v>
      </c>
      <c r="O56" s="165">
        <v>0</v>
      </c>
      <c r="P56" s="165">
        <f t="shared" si="15"/>
        <v>0</v>
      </c>
      <c r="Q56" s="165">
        <v>0</v>
      </c>
      <c r="R56" s="165">
        <v>0</v>
      </c>
      <c r="S56" s="165">
        <v>0</v>
      </c>
      <c r="T56" s="165">
        <v>0</v>
      </c>
      <c r="U56" s="165">
        <f t="shared" si="16"/>
        <v>0</v>
      </c>
      <c r="V56" s="165">
        <v>0</v>
      </c>
      <c r="W56" s="166">
        <f t="shared" si="17"/>
        <v>-6000</v>
      </c>
      <c r="X56" s="2">
        <v>0</v>
      </c>
      <c r="Y56" s="167">
        <f t="shared" si="18"/>
        <v>-6000</v>
      </c>
    </row>
    <row r="57" spans="1:25" ht="12.75" customHeight="1" collapsed="1">
      <c r="A57" s="161" t="s">
        <v>1775</v>
      </c>
      <c r="B57" s="30"/>
      <c r="C57" s="161" t="s">
        <v>1506</v>
      </c>
      <c r="D57" s="31"/>
      <c r="E57" s="32">
        <v>0</v>
      </c>
      <c r="F57" s="32">
        <v>0</v>
      </c>
      <c r="G57" s="37">
        <f t="shared" si="13"/>
        <v>0</v>
      </c>
      <c r="H57" s="37">
        <v>0</v>
      </c>
      <c r="I57" s="37">
        <v>57222.69</v>
      </c>
      <c r="J57" s="37">
        <v>0</v>
      </c>
      <c r="K57" s="37">
        <v>1730773.2</v>
      </c>
      <c r="L57" s="37">
        <f t="shared" si="14"/>
        <v>1787995.89</v>
      </c>
      <c r="M57" s="37">
        <v>0</v>
      </c>
      <c r="N57" s="37">
        <v>0</v>
      </c>
      <c r="O57" s="37">
        <v>0</v>
      </c>
      <c r="P57" s="37">
        <f t="shared" si="15"/>
        <v>0</v>
      </c>
      <c r="Q57" s="37">
        <v>0</v>
      </c>
      <c r="R57" s="37">
        <v>0</v>
      </c>
      <c r="S57" s="37">
        <v>0</v>
      </c>
      <c r="T57" s="37">
        <v>0</v>
      </c>
      <c r="U57" s="37">
        <f t="shared" si="16"/>
        <v>0</v>
      </c>
      <c r="V57" s="37">
        <v>0</v>
      </c>
      <c r="W57" s="168">
        <f t="shared" si="17"/>
        <v>1787995.89</v>
      </c>
      <c r="X57" s="32">
        <v>0</v>
      </c>
      <c r="Y57" s="164">
        <f t="shared" si="18"/>
        <v>1787995.89</v>
      </c>
    </row>
    <row r="58" spans="1:25" ht="12.75" hidden="1" outlineLevel="1">
      <c r="A58" s="2" t="s">
        <v>1776</v>
      </c>
      <c r="C58" s="2" t="s">
        <v>1777</v>
      </c>
      <c r="D58" s="34" t="s">
        <v>1778</v>
      </c>
      <c r="E58" s="2">
        <v>0</v>
      </c>
      <c r="F58" s="2">
        <v>0</v>
      </c>
      <c r="G58" s="165">
        <f t="shared" si="13"/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f t="shared" si="14"/>
        <v>0</v>
      </c>
      <c r="M58" s="165">
        <v>0</v>
      </c>
      <c r="N58" s="165">
        <v>0</v>
      </c>
      <c r="O58" s="165">
        <v>0</v>
      </c>
      <c r="P58" s="165">
        <f t="shared" si="15"/>
        <v>0</v>
      </c>
      <c r="Q58" s="165">
        <v>0</v>
      </c>
      <c r="R58" s="165">
        <v>0</v>
      </c>
      <c r="S58" s="165">
        <v>869561.27</v>
      </c>
      <c r="T58" s="165">
        <v>0</v>
      </c>
      <c r="U58" s="165">
        <f t="shared" si="16"/>
        <v>869561.27</v>
      </c>
      <c r="V58" s="165">
        <v>0</v>
      </c>
      <c r="W58" s="166">
        <f t="shared" si="17"/>
        <v>869561.27</v>
      </c>
      <c r="X58" s="2">
        <v>0</v>
      </c>
      <c r="Y58" s="167">
        <f t="shared" si="18"/>
        <v>869561.27</v>
      </c>
    </row>
    <row r="59" spans="1:25" ht="12.75" customHeight="1" collapsed="1">
      <c r="A59" s="161" t="s">
        <v>1779</v>
      </c>
      <c r="B59" s="30"/>
      <c r="C59" s="161" t="s">
        <v>1780</v>
      </c>
      <c r="D59" s="31"/>
      <c r="E59" s="32">
        <v>0</v>
      </c>
      <c r="F59" s="32">
        <v>0</v>
      </c>
      <c r="G59" s="37">
        <f t="shared" si="13"/>
        <v>0</v>
      </c>
      <c r="H59" s="37">
        <v>0</v>
      </c>
      <c r="I59" s="37">
        <v>0</v>
      </c>
      <c r="J59" s="37">
        <v>0</v>
      </c>
      <c r="K59" s="37">
        <v>0</v>
      </c>
      <c r="L59" s="37">
        <f t="shared" si="14"/>
        <v>0</v>
      </c>
      <c r="M59" s="37">
        <v>0</v>
      </c>
      <c r="N59" s="37">
        <v>0</v>
      </c>
      <c r="O59" s="37">
        <v>0</v>
      </c>
      <c r="P59" s="37">
        <f t="shared" si="15"/>
        <v>0</v>
      </c>
      <c r="Q59" s="37">
        <v>0</v>
      </c>
      <c r="R59" s="37">
        <v>0</v>
      </c>
      <c r="S59" s="37">
        <v>869561.27</v>
      </c>
      <c r="T59" s="37">
        <v>0</v>
      </c>
      <c r="U59" s="37">
        <f t="shared" si="16"/>
        <v>869561.27</v>
      </c>
      <c r="V59" s="37">
        <v>0</v>
      </c>
      <c r="W59" s="168">
        <f t="shared" si="17"/>
        <v>869561.27</v>
      </c>
      <c r="X59" s="32">
        <v>0</v>
      </c>
      <c r="Y59" s="164">
        <f t="shared" si="18"/>
        <v>869561.27</v>
      </c>
    </row>
    <row r="60" spans="1:25" ht="12.75" hidden="1" outlineLevel="1">
      <c r="A60" s="2" t="s">
        <v>1781</v>
      </c>
      <c r="C60" s="2" t="s">
        <v>1782</v>
      </c>
      <c r="D60" s="34" t="s">
        <v>1783</v>
      </c>
      <c r="E60" s="2">
        <v>0</v>
      </c>
      <c r="F60" s="2">
        <v>0</v>
      </c>
      <c r="G60" s="165">
        <f aca="true" t="shared" si="19" ref="G60:G65">E60+F60</f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f aca="true" t="shared" si="20" ref="L60:L65">I60+J60+K60</f>
        <v>0</v>
      </c>
      <c r="M60" s="165">
        <v>0</v>
      </c>
      <c r="N60" s="165">
        <v>49312.51</v>
      </c>
      <c r="O60" s="165">
        <v>0</v>
      </c>
      <c r="P60" s="165">
        <f aca="true" t="shared" si="21" ref="P60:P65">M60+N60+O60</f>
        <v>49312.51</v>
      </c>
      <c r="Q60" s="165">
        <v>0</v>
      </c>
      <c r="R60" s="165">
        <v>0</v>
      </c>
      <c r="S60" s="165">
        <v>0</v>
      </c>
      <c r="T60" s="165">
        <v>0</v>
      </c>
      <c r="U60" s="165">
        <f aca="true" t="shared" si="22" ref="U60:U65">Q60+R60+S60+T60</f>
        <v>0</v>
      </c>
      <c r="V60" s="165">
        <v>0</v>
      </c>
      <c r="W60" s="166">
        <f aca="true" t="shared" si="23" ref="W60:W65">G60+H60+L60+P60+U60+V60</f>
        <v>49312.51</v>
      </c>
      <c r="X60" s="2">
        <v>0</v>
      </c>
      <c r="Y60" s="167">
        <f aca="true" t="shared" si="24" ref="Y60:Y65">W60+X60</f>
        <v>49312.51</v>
      </c>
    </row>
    <row r="61" spans="1:25" ht="12.75" hidden="1" outlineLevel="1">
      <c r="A61" s="2" t="s">
        <v>1784</v>
      </c>
      <c r="C61" s="2" t="s">
        <v>1785</v>
      </c>
      <c r="D61" s="34" t="s">
        <v>1786</v>
      </c>
      <c r="E61" s="2">
        <v>0</v>
      </c>
      <c r="F61" s="2">
        <v>0</v>
      </c>
      <c r="G61" s="165">
        <f t="shared" si="19"/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f t="shared" si="20"/>
        <v>0</v>
      </c>
      <c r="M61" s="165">
        <v>0</v>
      </c>
      <c r="N61" s="165">
        <v>30417648.84</v>
      </c>
      <c r="O61" s="165">
        <v>1436122.28</v>
      </c>
      <c r="P61" s="165">
        <f t="shared" si="21"/>
        <v>31853771.12</v>
      </c>
      <c r="Q61" s="165">
        <v>0</v>
      </c>
      <c r="R61" s="165">
        <v>0</v>
      </c>
      <c r="S61" s="165">
        <v>0</v>
      </c>
      <c r="T61" s="165">
        <v>0</v>
      </c>
      <c r="U61" s="165">
        <f t="shared" si="22"/>
        <v>0</v>
      </c>
      <c r="V61" s="165">
        <v>423337.92</v>
      </c>
      <c r="W61" s="166">
        <f t="shared" si="23"/>
        <v>32277109.040000003</v>
      </c>
      <c r="X61" s="2">
        <v>0</v>
      </c>
      <c r="Y61" s="167">
        <f t="shared" si="24"/>
        <v>32277109.040000003</v>
      </c>
    </row>
    <row r="62" spans="1:25" ht="12.75" hidden="1" outlineLevel="1">
      <c r="A62" s="2" t="s">
        <v>1787</v>
      </c>
      <c r="C62" s="2" t="s">
        <v>1788</v>
      </c>
      <c r="D62" s="34" t="s">
        <v>1789</v>
      </c>
      <c r="E62" s="2">
        <v>0</v>
      </c>
      <c r="F62" s="2">
        <v>0</v>
      </c>
      <c r="G62" s="165">
        <f t="shared" si="19"/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f t="shared" si="20"/>
        <v>0</v>
      </c>
      <c r="M62" s="165">
        <v>0</v>
      </c>
      <c r="N62" s="165">
        <v>70180.71</v>
      </c>
      <c r="O62" s="165">
        <v>5806566.62</v>
      </c>
      <c r="P62" s="165">
        <f t="shared" si="21"/>
        <v>5876747.33</v>
      </c>
      <c r="Q62" s="165">
        <v>0</v>
      </c>
      <c r="R62" s="165">
        <v>0</v>
      </c>
      <c r="S62" s="165">
        <v>0</v>
      </c>
      <c r="T62" s="165">
        <v>0</v>
      </c>
      <c r="U62" s="165">
        <f t="shared" si="22"/>
        <v>0</v>
      </c>
      <c r="V62" s="165">
        <v>0</v>
      </c>
      <c r="W62" s="166">
        <f t="shared" si="23"/>
        <v>5876747.33</v>
      </c>
      <c r="X62" s="2">
        <v>0</v>
      </c>
      <c r="Y62" s="167">
        <f t="shared" si="24"/>
        <v>5876747.33</v>
      </c>
    </row>
    <row r="63" spans="1:25" ht="12.75" hidden="1" outlineLevel="1">
      <c r="A63" s="2" t="s">
        <v>1790</v>
      </c>
      <c r="C63" s="2" t="s">
        <v>1791</v>
      </c>
      <c r="D63" s="34" t="s">
        <v>1792</v>
      </c>
      <c r="E63" s="2">
        <v>0</v>
      </c>
      <c r="F63" s="2">
        <v>0</v>
      </c>
      <c r="G63" s="165">
        <f t="shared" si="19"/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f t="shared" si="20"/>
        <v>0</v>
      </c>
      <c r="M63" s="165">
        <v>0</v>
      </c>
      <c r="N63" s="165">
        <v>23941</v>
      </c>
      <c r="O63" s="165">
        <v>0</v>
      </c>
      <c r="P63" s="165">
        <f t="shared" si="21"/>
        <v>23941</v>
      </c>
      <c r="Q63" s="165">
        <v>0</v>
      </c>
      <c r="R63" s="165">
        <v>0</v>
      </c>
      <c r="S63" s="165">
        <v>0</v>
      </c>
      <c r="T63" s="165">
        <v>0</v>
      </c>
      <c r="U63" s="165">
        <f t="shared" si="22"/>
        <v>0</v>
      </c>
      <c r="V63" s="165">
        <v>0</v>
      </c>
      <c r="W63" s="166">
        <f t="shared" si="23"/>
        <v>23941</v>
      </c>
      <c r="X63" s="2">
        <v>0</v>
      </c>
      <c r="Y63" s="167">
        <f t="shared" si="24"/>
        <v>23941</v>
      </c>
    </row>
    <row r="64" spans="1:25" ht="12.75" hidden="1" outlineLevel="1">
      <c r="A64" s="2" t="s">
        <v>1793</v>
      </c>
      <c r="C64" s="2" t="s">
        <v>1794</v>
      </c>
      <c r="D64" s="34" t="s">
        <v>1795</v>
      </c>
      <c r="E64" s="2">
        <v>25268506.52</v>
      </c>
      <c r="F64" s="2">
        <v>0</v>
      </c>
      <c r="G64" s="165">
        <f t="shared" si="19"/>
        <v>25268506.52</v>
      </c>
      <c r="H64" s="165">
        <v>0</v>
      </c>
      <c r="I64" s="165">
        <v>0</v>
      </c>
      <c r="J64" s="165">
        <v>0</v>
      </c>
      <c r="K64" s="165">
        <v>592251.02</v>
      </c>
      <c r="L64" s="165">
        <f t="shared" si="20"/>
        <v>592251.02</v>
      </c>
      <c r="M64" s="165">
        <v>0</v>
      </c>
      <c r="N64" s="165">
        <v>459062.77</v>
      </c>
      <c r="O64" s="165">
        <v>0</v>
      </c>
      <c r="P64" s="165">
        <f t="shared" si="21"/>
        <v>459062.77</v>
      </c>
      <c r="Q64" s="165">
        <v>6380010.43</v>
      </c>
      <c r="R64" s="165">
        <v>65889.97</v>
      </c>
      <c r="S64" s="165">
        <v>0</v>
      </c>
      <c r="T64" s="165">
        <v>0</v>
      </c>
      <c r="U64" s="165">
        <f t="shared" si="22"/>
        <v>6445900.399999999</v>
      </c>
      <c r="V64" s="165">
        <v>-87632.44</v>
      </c>
      <c r="W64" s="166">
        <f t="shared" si="23"/>
        <v>32678088.269999996</v>
      </c>
      <c r="X64" s="2">
        <v>0</v>
      </c>
      <c r="Y64" s="167">
        <f t="shared" si="24"/>
        <v>32678088.269999996</v>
      </c>
    </row>
    <row r="65" spans="1:25" ht="12.75" hidden="1" outlineLevel="1">
      <c r="A65" s="2" t="s">
        <v>1796</v>
      </c>
      <c r="C65" s="2" t="s">
        <v>1797</v>
      </c>
      <c r="D65" s="34" t="s">
        <v>1798</v>
      </c>
      <c r="E65" s="2">
        <v>299768.52</v>
      </c>
      <c r="F65" s="2">
        <v>0</v>
      </c>
      <c r="G65" s="165">
        <f t="shared" si="19"/>
        <v>299768.52</v>
      </c>
      <c r="H65" s="165">
        <v>653.31</v>
      </c>
      <c r="I65" s="165">
        <v>0</v>
      </c>
      <c r="J65" s="165">
        <v>0</v>
      </c>
      <c r="K65" s="165">
        <v>7026.07</v>
      </c>
      <c r="L65" s="165">
        <f t="shared" si="20"/>
        <v>7026.07</v>
      </c>
      <c r="M65" s="165">
        <v>0</v>
      </c>
      <c r="N65" s="165">
        <v>5535.23</v>
      </c>
      <c r="O65" s="165">
        <v>26885.79</v>
      </c>
      <c r="P65" s="165">
        <f t="shared" si="21"/>
        <v>32421.02</v>
      </c>
      <c r="Q65" s="165">
        <v>75688.14</v>
      </c>
      <c r="R65" s="165">
        <v>781.67</v>
      </c>
      <c r="S65" s="165">
        <v>0</v>
      </c>
      <c r="T65" s="165">
        <v>0</v>
      </c>
      <c r="U65" s="165">
        <f t="shared" si="22"/>
        <v>76469.81</v>
      </c>
      <c r="V65" s="165">
        <v>-1039.61</v>
      </c>
      <c r="W65" s="166">
        <f t="shared" si="23"/>
        <v>415299.12000000005</v>
      </c>
      <c r="X65" s="2">
        <v>0</v>
      </c>
      <c r="Y65" s="167">
        <f t="shared" si="24"/>
        <v>415299.12000000005</v>
      </c>
    </row>
    <row r="66" spans="1:25" ht="12.75" customHeight="1" collapsed="1">
      <c r="A66" s="161" t="s">
        <v>1799</v>
      </c>
      <c r="B66" s="30"/>
      <c r="C66" s="161" t="s">
        <v>1508</v>
      </c>
      <c r="D66" s="31"/>
      <c r="E66" s="32">
        <v>25568275.04</v>
      </c>
      <c r="F66" s="32">
        <v>0</v>
      </c>
      <c r="G66" s="37">
        <f>E66+F66</f>
        <v>25568275.04</v>
      </c>
      <c r="H66" s="37">
        <v>653.31</v>
      </c>
      <c r="I66" s="37">
        <v>0</v>
      </c>
      <c r="J66" s="37">
        <v>0</v>
      </c>
      <c r="K66" s="37">
        <v>599277.09</v>
      </c>
      <c r="L66" s="37">
        <f>I66+J66+K66</f>
        <v>599277.09</v>
      </c>
      <c r="M66" s="37">
        <v>0</v>
      </c>
      <c r="N66" s="37">
        <v>31025681.060000002</v>
      </c>
      <c r="O66" s="37">
        <v>7269574.69</v>
      </c>
      <c r="P66" s="37">
        <f>M66+N66+O66</f>
        <v>38295255.75</v>
      </c>
      <c r="Q66" s="37">
        <v>6455698.569999999</v>
      </c>
      <c r="R66" s="37">
        <v>66671.64</v>
      </c>
      <c r="S66" s="37">
        <v>0</v>
      </c>
      <c r="T66" s="37">
        <v>0</v>
      </c>
      <c r="U66" s="37">
        <f>Q66+R66+S66+T66</f>
        <v>6522370.209999999</v>
      </c>
      <c r="V66" s="37">
        <v>334665.87</v>
      </c>
      <c r="W66" s="168">
        <f>G66+H66+L66+P66+U66+V66</f>
        <v>71320497.27</v>
      </c>
      <c r="X66" s="32">
        <v>0</v>
      </c>
      <c r="Y66" s="164">
        <f>W66+X66</f>
        <v>71320497.27</v>
      </c>
    </row>
    <row r="67" spans="1:25" ht="12.75" hidden="1" outlineLevel="1">
      <c r="A67" s="2" t="s">
        <v>1800</v>
      </c>
      <c r="C67" s="2" t="s">
        <v>1801</v>
      </c>
      <c r="D67" s="34" t="s">
        <v>1802</v>
      </c>
      <c r="E67" s="2">
        <v>0</v>
      </c>
      <c r="F67" s="2">
        <v>0</v>
      </c>
      <c r="G67" s="165">
        <f aca="true" t="shared" si="25" ref="G67:G76">E67+F67</f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f aca="true" t="shared" si="26" ref="L67:L76">I67+J67+K67</f>
        <v>0</v>
      </c>
      <c r="M67" s="165">
        <v>0</v>
      </c>
      <c r="N67" s="165">
        <v>0</v>
      </c>
      <c r="O67" s="165">
        <v>0</v>
      </c>
      <c r="P67" s="165">
        <f aca="true" t="shared" si="27" ref="P67:P76">M67+N67+O67</f>
        <v>0</v>
      </c>
      <c r="Q67" s="165">
        <v>0</v>
      </c>
      <c r="R67" s="165">
        <v>0</v>
      </c>
      <c r="S67" s="165">
        <v>0</v>
      </c>
      <c r="T67" s="165">
        <v>9464310.73</v>
      </c>
      <c r="U67" s="165">
        <f aca="true" t="shared" si="28" ref="U67:U76">Q67+R67+S67+T67</f>
        <v>9464310.73</v>
      </c>
      <c r="V67" s="165">
        <v>0</v>
      </c>
      <c r="W67" s="166">
        <f aca="true" t="shared" si="29" ref="W67:W76">G67+H67+L67+P67+U67+V67</f>
        <v>9464310.73</v>
      </c>
      <c r="X67" s="2">
        <v>0</v>
      </c>
      <c r="Y67" s="167">
        <f aca="true" t="shared" si="30" ref="Y67:Y76">W67+X67</f>
        <v>9464310.73</v>
      </c>
    </row>
    <row r="68" spans="1:25" ht="12.75" hidden="1" outlineLevel="1">
      <c r="A68" s="2" t="s">
        <v>1803</v>
      </c>
      <c r="C68" s="2" t="s">
        <v>1804</v>
      </c>
      <c r="D68" s="34" t="s">
        <v>1805</v>
      </c>
      <c r="E68" s="2">
        <v>0</v>
      </c>
      <c r="F68" s="2">
        <v>0</v>
      </c>
      <c r="G68" s="165">
        <f t="shared" si="25"/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f t="shared" si="26"/>
        <v>0</v>
      </c>
      <c r="M68" s="165">
        <v>0</v>
      </c>
      <c r="N68" s="165">
        <v>0</v>
      </c>
      <c r="O68" s="165">
        <v>0</v>
      </c>
      <c r="P68" s="165">
        <f t="shared" si="27"/>
        <v>0</v>
      </c>
      <c r="Q68" s="165">
        <v>0</v>
      </c>
      <c r="R68" s="165">
        <v>0</v>
      </c>
      <c r="S68" s="165">
        <v>0</v>
      </c>
      <c r="T68" s="165">
        <v>14890117.12</v>
      </c>
      <c r="U68" s="165">
        <f t="shared" si="28"/>
        <v>14890117.12</v>
      </c>
      <c r="V68" s="165">
        <v>0</v>
      </c>
      <c r="W68" s="166">
        <f t="shared" si="29"/>
        <v>14890117.12</v>
      </c>
      <c r="X68" s="2">
        <v>0</v>
      </c>
      <c r="Y68" s="167">
        <f t="shared" si="30"/>
        <v>14890117.12</v>
      </c>
    </row>
    <row r="69" spans="1:25" ht="12.75" hidden="1" outlineLevel="1">
      <c r="A69" s="2" t="s">
        <v>1806</v>
      </c>
      <c r="C69" s="2" t="s">
        <v>1807</v>
      </c>
      <c r="D69" s="34" t="s">
        <v>1808</v>
      </c>
      <c r="E69" s="2">
        <v>0</v>
      </c>
      <c r="F69" s="2">
        <v>0</v>
      </c>
      <c r="G69" s="165">
        <f t="shared" si="25"/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f t="shared" si="26"/>
        <v>0</v>
      </c>
      <c r="M69" s="165">
        <v>0</v>
      </c>
      <c r="N69" s="165">
        <v>0</v>
      </c>
      <c r="O69" s="165">
        <v>0</v>
      </c>
      <c r="P69" s="165">
        <f t="shared" si="27"/>
        <v>0</v>
      </c>
      <c r="Q69" s="165">
        <v>0</v>
      </c>
      <c r="R69" s="165">
        <v>0</v>
      </c>
      <c r="S69" s="165">
        <v>0</v>
      </c>
      <c r="T69" s="165">
        <v>-6189308.66</v>
      </c>
      <c r="U69" s="165">
        <f t="shared" si="28"/>
        <v>-6189308.66</v>
      </c>
      <c r="V69" s="165">
        <v>0</v>
      </c>
      <c r="W69" s="166">
        <f t="shared" si="29"/>
        <v>-6189308.66</v>
      </c>
      <c r="X69" s="2">
        <v>0</v>
      </c>
      <c r="Y69" s="167">
        <f t="shared" si="30"/>
        <v>-6189308.66</v>
      </c>
    </row>
    <row r="70" spans="1:25" ht="12.75" hidden="1" outlineLevel="1">
      <c r="A70" s="2" t="s">
        <v>1809</v>
      </c>
      <c r="C70" s="2" t="s">
        <v>1810</v>
      </c>
      <c r="D70" s="34" t="s">
        <v>1811</v>
      </c>
      <c r="E70" s="2">
        <v>0</v>
      </c>
      <c r="F70" s="2">
        <v>0</v>
      </c>
      <c r="G70" s="165">
        <f t="shared" si="25"/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f t="shared" si="26"/>
        <v>0</v>
      </c>
      <c r="M70" s="165">
        <v>0</v>
      </c>
      <c r="N70" s="165">
        <v>0</v>
      </c>
      <c r="O70" s="165">
        <v>0</v>
      </c>
      <c r="P70" s="165">
        <f t="shared" si="27"/>
        <v>0</v>
      </c>
      <c r="Q70" s="165">
        <v>0</v>
      </c>
      <c r="R70" s="165">
        <v>0</v>
      </c>
      <c r="S70" s="165">
        <v>0</v>
      </c>
      <c r="T70" s="165">
        <v>241828370.31</v>
      </c>
      <c r="U70" s="165">
        <f t="shared" si="28"/>
        <v>241828370.31</v>
      </c>
      <c r="V70" s="165">
        <v>0</v>
      </c>
      <c r="W70" s="166">
        <f t="shared" si="29"/>
        <v>241828370.31</v>
      </c>
      <c r="X70" s="2">
        <v>0</v>
      </c>
      <c r="Y70" s="167">
        <f t="shared" si="30"/>
        <v>241828370.31</v>
      </c>
    </row>
    <row r="71" spans="1:25" ht="12.75" hidden="1" outlineLevel="1">
      <c r="A71" s="2" t="s">
        <v>1812</v>
      </c>
      <c r="C71" s="2" t="s">
        <v>1813</v>
      </c>
      <c r="D71" s="34" t="s">
        <v>1814</v>
      </c>
      <c r="E71" s="2">
        <v>0</v>
      </c>
      <c r="F71" s="2">
        <v>0</v>
      </c>
      <c r="G71" s="165">
        <f t="shared" si="25"/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f t="shared" si="26"/>
        <v>0</v>
      </c>
      <c r="M71" s="165">
        <v>0</v>
      </c>
      <c r="N71" s="165">
        <v>0</v>
      </c>
      <c r="O71" s="165">
        <v>0</v>
      </c>
      <c r="P71" s="165">
        <f t="shared" si="27"/>
        <v>0</v>
      </c>
      <c r="Q71" s="165">
        <v>0</v>
      </c>
      <c r="R71" s="165">
        <v>0</v>
      </c>
      <c r="S71" s="165">
        <v>0</v>
      </c>
      <c r="T71" s="165">
        <v>-61350824.57</v>
      </c>
      <c r="U71" s="165">
        <f t="shared" si="28"/>
        <v>-61350824.57</v>
      </c>
      <c r="V71" s="165">
        <v>0</v>
      </c>
      <c r="W71" s="166">
        <f t="shared" si="29"/>
        <v>-61350824.57</v>
      </c>
      <c r="X71" s="2">
        <v>0</v>
      </c>
      <c r="Y71" s="167">
        <f t="shared" si="30"/>
        <v>-61350824.57</v>
      </c>
    </row>
    <row r="72" spans="1:25" ht="12.75" hidden="1" outlineLevel="1">
      <c r="A72" s="2" t="s">
        <v>1815</v>
      </c>
      <c r="C72" s="2" t="s">
        <v>1816</v>
      </c>
      <c r="D72" s="34" t="s">
        <v>1817</v>
      </c>
      <c r="E72" s="2">
        <v>0</v>
      </c>
      <c r="F72" s="2">
        <v>0</v>
      </c>
      <c r="G72" s="165">
        <f t="shared" si="25"/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f t="shared" si="26"/>
        <v>0</v>
      </c>
      <c r="M72" s="165">
        <v>0</v>
      </c>
      <c r="N72" s="165">
        <v>0</v>
      </c>
      <c r="O72" s="165">
        <v>0</v>
      </c>
      <c r="P72" s="165">
        <f t="shared" si="27"/>
        <v>0</v>
      </c>
      <c r="Q72" s="165">
        <v>0</v>
      </c>
      <c r="R72" s="165">
        <v>0</v>
      </c>
      <c r="S72" s="165">
        <v>0</v>
      </c>
      <c r="T72" s="165">
        <v>17504603.58</v>
      </c>
      <c r="U72" s="165">
        <f t="shared" si="28"/>
        <v>17504603.58</v>
      </c>
      <c r="V72" s="165">
        <v>0</v>
      </c>
      <c r="W72" s="166">
        <f t="shared" si="29"/>
        <v>17504603.58</v>
      </c>
      <c r="X72" s="2">
        <v>0</v>
      </c>
      <c r="Y72" s="167">
        <f t="shared" si="30"/>
        <v>17504603.58</v>
      </c>
    </row>
    <row r="73" spans="1:25" ht="12.75" hidden="1" outlineLevel="1">
      <c r="A73" s="2" t="s">
        <v>1818</v>
      </c>
      <c r="C73" s="2" t="s">
        <v>1819</v>
      </c>
      <c r="D73" s="34" t="s">
        <v>1820</v>
      </c>
      <c r="E73" s="2">
        <v>0</v>
      </c>
      <c r="F73" s="2">
        <v>0</v>
      </c>
      <c r="G73" s="165">
        <f t="shared" si="25"/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f t="shared" si="26"/>
        <v>0</v>
      </c>
      <c r="M73" s="165">
        <v>0</v>
      </c>
      <c r="N73" s="165">
        <v>0</v>
      </c>
      <c r="O73" s="165">
        <v>0</v>
      </c>
      <c r="P73" s="165">
        <f t="shared" si="27"/>
        <v>0</v>
      </c>
      <c r="Q73" s="165">
        <v>0</v>
      </c>
      <c r="R73" s="165">
        <v>0</v>
      </c>
      <c r="S73" s="165">
        <v>0</v>
      </c>
      <c r="T73" s="165">
        <v>-13194147.54</v>
      </c>
      <c r="U73" s="165">
        <f t="shared" si="28"/>
        <v>-13194147.54</v>
      </c>
      <c r="V73" s="165">
        <v>0</v>
      </c>
      <c r="W73" s="166">
        <f t="shared" si="29"/>
        <v>-13194147.54</v>
      </c>
      <c r="X73" s="2">
        <v>0</v>
      </c>
      <c r="Y73" s="167">
        <f t="shared" si="30"/>
        <v>-13194147.54</v>
      </c>
    </row>
    <row r="74" spans="1:25" ht="12.75" hidden="1" outlineLevel="1">
      <c r="A74" s="2" t="s">
        <v>1821</v>
      </c>
      <c r="C74" s="2" t="s">
        <v>1822</v>
      </c>
      <c r="D74" s="34" t="s">
        <v>1823</v>
      </c>
      <c r="E74" s="2">
        <v>0</v>
      </c>
      <c r="F74" s="2">
        <v>0</v>
      </c>
      <c r="G74" s="165">
        <f t="shared" si="25"/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f t="shared" si="26"/>
        <v>0</v>
      </c>
      <c r="M74" s="165">
        <v>0</v>
      </c>
      <c r="N74" s="165">
        <v>0</v>
      </c>
      <c r="O74" s="165">
        <v>0</v>
      </c>
      <c r="P74" s="165">
        <f t="shared" si="27"/>
        <v>0</v>
      </c>
      <c r="Q74" s="165">
        <v>0</v>
      </c>
      <c r="R74" s="165">
        <v>0</v>
      </c>
      <c r="S74" s="165">
        <v>0</v>
      </c>
      <c r="T74" s="165">
        <v>38582348.4</v>
      </c>
      <c r="U74" s="165">
        <f t="shared" si="28"/>
        <v>38582348.4</v>
      </c>
      <c r="V74" s="165">
        <v>0</v>
      </c>
      <c r="W74" s="166">
        <f t="shared" si="29"/>
        <v>38582348.4</v>
      </c>
      <c r="X74" s="2">
        <v>0</v>
      </c>
      <c r="Y74" s="167">
        <f t="shared" si="30"/>
        <v>38582348.4</v>
      </c>
    </row>
    <row r="75" spans="1:25" ht="12.75" hidden="1" outlineLevel="1">
      <c r="A75" s="2" t="s">
        <v>1824</v>
      </c>
      <c r="C75" s="2" t="s">
        <v>1825</v>
      </c>
      <c r="D75" s="34" t="s">
        <v>1826</v>
      </c>
      <c r="E75" s="2">
        <v>0</v>
      </c>
      <c r="F75" s="2">
        <v>0</v>
      </c>
      <c r="G75" s="165">
        <f t="shared" si="25"/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f t="shared" si="26"/>
        <v>0</v>
      </c>
      <c r="M75" s="165">
        <v>0</v>
      </c>
      <c r="N75" s="165">
        <v>0</v>
      </c>
      <c r="O75" s="165">
        <v>0</v>
      </c>
      <c r="P75" s="165">
        <f t="shared" si="27"/>
        <v>0</v>
      </c>
      <c r="Q75" s="165">
        <v>0</v>
      </c>
      <c r="R75" s="165">
        <v>0</v>
      </c>
      <c r="S75" s="165">
        <v>0</v>
      </c>
      <c r="T75" s="165">
        <v>4794249.71</v>
      </c>
      <c r="U75" s="165">
        <f t="shared" si="28"/>
        <v>4794249.71</v>
      </c>
      <c r="V75" s="165">
        <v>0</v>
      </c>
      <c r="W75" s="166">
        <f t="shared" si="29"/>
        <v>4794249.71</v>
      </c>
      <c r="X75" s="2">
        <v>0</v>
      </c>
      <c r="Y75" s="167">
        <f t="shared" si="30"/>
        <v>4794249.71</v>
      </c>
    </row>
    <row r="76" spans="1:25" ht="12.75" hidden="1" outlineLevel="1">
      <c r="A76" s="2" t="s">
        <v>1827</v>
      </c>
      <c r="C76" s="2" t="s">
        <v>1828</v>
      </c>
      <c r="D76" s="34" t="s">
        <v>1829</v>
      </c>
      <c r="E76" s="2">
        <v>0</v>
      </c>
      <c r="F76" s="2">
        <v>0</v>
      </c>
      <c r="G76" s="165">
        <f t="shared" si="25"/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f t="shared" si="26"/>
        <v>0</v>
      </c>
      <c r="M76" s="165">
        <v>0</v>
      </c>
      <c r="N76" s="165">
        <v>0</v>
      </c>
      <c r="O76" s="165">
        <v>0</v>
      </c>
      <c r="P76" s="165">
        <f t="shared" si="27"/>
        <v>0</v>
      </c>
      <c r="Q76" s="165">
        <v>0</v>
      </c>
      <c r="R76" s="165">
        <v>0</v>
      </c>
      <c r="S76" s="165">
        <v>0</v>
      </c>
      <c r="T76" s="165">
        <v>3087750.94</v>
      </c>
      <c r="U76" s="165">
        <f t="shared" si="28"/>
        <v>3087750.94</v>
      </c>
      <c r="V76" s="165">
        <v>0</v>
      </c>
      <c r="W76" s="166">
        <f t="shared" si="29"/>
        <v>3087750.94</v>
      </c>
      <c r="X76" s="2">
        <v>0</v>
      </c>
      <c r="Y76" s="167">
        <f t="shared" si="30"/>
        <v>3087750.94</v>
      </c>
    </row>
    <row r="77" spans="1:25" ht="12.75" customHeight="1" collapsed="1">
      <c r="A77" s="161" t="s">
        <v>1830</v>
      </c>
      <c r="B77" s="30"/>
      <c r="C77" s="161" t="s">
        <v>1509</v>
      </c>
      <c r="D77" s="31"/>
      <c r="E77" s="32">
        <v>0</v>
      </c>
      <c r="F77" s="32">
        <v>0</v>
      </c>
      <c r="G77" s="37">
        <f>E77+F77</f>
        <v>0</v>
      </c>
      <c r="H77" s="37">
        <v>0</v>
      </c>
      <c r="I77" s="37">
        <v>0</v>
      </c>
      <c r="J77" s="37">
        <v>0</v>
      </c>
      <c r="K77" s="37">
        <v>0</v>
      </c>
      <c r="L77" s="37">
        <f>I77+J77+K77</f>
        <v>0</v>
      </c>
      <c r="M77" s="37">
        <v>0</v>
      </c>
      <c r="N77" s="37">
        <v>0</v>
      </c>
      <c r="O77" s="37">
        <v>0</v>
      </c>
      <c r="P77" s="37">
        <f>M77+N77+O77</f>
        <v>0</v>
      </c>
      <c r="Q77" s="37">
        <v>0</v>
      </c>
      <c r="R77" s="37">
        <v>0</v>
      </c>
      <c r="S77" s="37">
        <v>0</v>
      </c>
      <c r="T77" s="37">
        <v>249417470.02</v>
      </c>
      <c r="U77" s="37">
        <f>Q77+R77+S77+T77</f>
        <v>249417470.02</v>
      </c>
      <c r="V77" s="37">
        <v>0</v>
      </c>
      <c r="W77" s="168">
        <f>G77+H77+L77+P77+U77+V77</f>
        <v>249417470.02</v>
      </c>
      <c r="X77" s="32">
        <v>0</v>
      </c>
      <c r="Y77" s="164">
        <f>W77+X77</f>
        <v>249417470.02</v>
      </c>
    </row>
    <row r="78" spans="1:25" ht="12.75" customHeight="1">
      <c r="A78" s="34"/>
      <c r="B78" s="30"/>
      <c r="C78" s="161"/>
      <c r="D78" s="31"/>
      <c r="E78" s="32"/>
      <c r="F78" s="32"/>
      <c r="G78" s="37"/>
      <c r="H78" s="37"/>
      <c r="I78" s="37"/>
      <c r="J78" s="37"/>
      <c r="K78" s="37"/>
      <c r="L78" s="40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168"/>
      <c r="X78" s="32"/>
      <c r="Y78" s="154"/>
    </row>
    <row r="79" spans="1:25" s="169" customFormat="1" ht="12.75" customHeight="1">
      <c r="A79" s="29"/>
      <c r="B79" s="23" t="s">
        <v>1510</v>
      </c>
      <c r="C79" s="160"/>
      <c r="D79" s="24"/>
      <c r="E79" s="27">
        <f aca="true" t="shared" si="31" ref="E79:Y79">+E52+E57+E59+E66+E77+E50</f>
        <v>25568275.04</v>
      </c>
      <c r="F79" s="27">
        <f t="shared" si="31"/>
        <v>0</v>
      </c>
      <c r="G79" s="40">
        <f t="shared" si="31"/>
        <v>25568275.04</v>
      </c>
      <c r="H79" s="40">
        <f t="shared" si="31"/>
        <v>367528.77999999997</v>
      </c>
      <c r="I79" s="40">
        <f t="shared" si="31"/>
        <v>57222.69</v>
      </c>
      <c r="J79" s="40">
        <f t="shared" si="31"/>
        <v>0</v>
      </c>
      <c r="K79" s="40">
        <f t="shared" si="31"/>
        <v>2330050.29</v>
      </c>
      <c r="L79" s="40">
        <f t="shared" si="31"/>
        <v>2387272.98</v>
      </c>
      <c r="M79" s="40">
        <f t="shared" si="31"/>
        <v>0</v>
      </c>
      <c r="N79" s="40">
        <f t="shared" si="31"/>
        <v>31025681.060000002</v>
      </c>
      <c r="O79" s="40">
        <f t="shared" si="31"/>
        <v>7269574.69</v>
      </c>
      <c r="P79" s="40">
        <f t="shared" si="31"/>
        <v>38295255.75</v>
      </c>
      <c r="Q79" s="40">
        <f t="shared" si="31"/>
        <v>6455698.569999999</v>
      </c>
      <c r="R79" s="40">
        <f t="shared" si="31"/>
        <v>66671.64</v>
      </c>
      <c r="S79" s="40">
        <f t="shared" si="31"/>
        <v>869561.27</v>
      </c>
      <c r="T79" s="40">
        <f t="shared" si="31"/>
        <v>249417470.02</v>
      </c>
      <c r="U79" s="40">
        <f t="shared" si="31"/>
        <v>256809401.5</v>
      </c>
      <c r="V79" s="40">
        <f t="shared" si="31"/>
        <v>334665.87</v>
      </c>
      <c r="W79" s="170">
        <f t="shared" si="31"/>
        <v>323762399.92</v>
      </c>
      <c r="X79" s="27">
        <f t="shared" si="31"/>
        <v>0</v>
      </c>
      <c r="Y79" s="27">
        <f t="shared" si="31"/>
        <v>323762399.92</v>
      </c>
    </row>
    <row r="80" spans="1:25" ht="12.75" customHeight="1">
      <c r="A80" s="34"/>
      <c r="B80" s="30"/>
      <c r="C80" s="161"/>
      <c r="D80" s="31"/>
      <c r="E80" s="32"/>
      <c r="F80" s="32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168"/>
      <c r="X80" s="32"/>
      <c r="Y80" s="32"/>
    </row>
    <row r="81" spans="1:25" s="169" customFormat="1" ht="12.75" customHeight="1">
      <c r="A81" s="29"/>
      <c r="B81" s="23" t="s">
        <v>1511</v>
      </c>
      <c r="C81" s="160"/>
      <c r="D81" s="24"/>
      <c r="E81" s="27">
        <f aca="true" t="shared" si="32" ref="E81:Y81">+E47+E79</f>
        <v>32737280.86</v>
      </c>
      <c r="F81" s="27">
        <f t="shared" si="32"/>
        <v>2352.37999999999</v>
      </c>
      <c r="G81" s="42">
        <f t="shared" si="32"/>
        <v>32739633.240000002</v>
      </c>
      <c r="H81" s="42">
        <f t="shared" si="32"/>
        <v>9153879.569999998</v>
      </c>
      <c r="I81" s="42">
        <f t="shared" si="32"/>
        <v>127278.89000000001</v>
      </c>
      <c r="J81" s="42">
        <f t="shared" si="32"/>
        <v>0</v>
      </c>
      <c r="K81" s="42">
        <f t="shared" si="32"/>
        <v>3371986.09</v>
      </c>
      <c r="L81" s="42">
        <f>I81+J81+K81</f>
        <v>3499264.98</v>
      </c>
      <c r="M81" s="42">
        <f t="shared" si="32"/>
        <v>0</v>
      </c>
      <c r="N81" s="42">
        <f t="shared" si="32"/>
        <v>35485882.190000005</v>
      </c>
      <c r="O81" s="42">
        <f t="shared" si="32"/>
        <v>7384501.970000001</v>
      </c>
      <c r="P81" s="42">
        <f>M81+N81+O81</f>
        <v>42870384.160000004</v>
      </c>
      <c r="Q81" s="42">
        <f t="shared" si="32"/>
        <v>7596484.899999999</v>
      </c>
      <c r="R81" s="42">
        <f t="shared" si="32"/>
        <v>78453.19</v>
      </c>
      <c r="S81" s="42">
        <f t="shared" si="32"/>
        <v>727068.3300000001</v>
      </c>
      <c r="T81" s="42">
        <f t="shared" si="32"/>
        <v>249559962.96</v>
      </c>
      <c r="U81" s="42">
        <f t="shared" si="32"/>
        <v>257961969.38</v>
      </c>
      <c r="V81" s="42">
        <f t="shared" si="32"/>
        <v>1816932.56</v>
      </c>
      <c r="W81" s="171">
        <f t="shared" si="32"/>
        <v>348042063.89000005</v>
      </c>
      <c r="X81" s="27">
        <f t="shared" si="32"/>
        <v>0</v>
      </c>
      <c r="Y81" s="27">
        <f t="shared" si="32"/>
        <v>348042063.89000005</v>
      </c>
    </row>
    <row r="82" spans="1:25" ht="12.75" customHeight="1">
      <c r="A82" s="34"/>
      <c r="B82" s="30"/>
      <c r="C82" s="161"/>
      <c r="D82" s="31"/>
      <c r="E82" s="32"/>
      <c r="F82" s="32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168"/>
      <c r="X82" s="32"/>
      <c r="Y82" s="154"/>
    </row>
    <row r="83" spans="1:25" ht="12.75" customHeight="1">
      <c r="A83" s="29"/>
      <c r="B83" s="23" t="s">
        <v>1512</v>
      </c>
      <c r="C83" s="160"/>
      <c r="D83" s="24"/>
      <c r="E83" s="27"/>
      <c r="F83" s="27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170"/>
      <c r="X83" s="27"/>
      <c r="Y83" s="154"/>
    </row>
    <row r="84" spans="1:25" ht="12.75" customHeight="1">
      <c r="A84" s="34"/>
      <c r="B84" s="23"/>
      <c r="C84" s="160"/>
      <c r="D84" s="24"/>
      <c r="E84" s="32"/>
      <c r="F84" s="32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168"/>
      <c r="X84" s="32"/>
      <c r="Y84" s="154"/>
    </row>
    <row r="85" spans="1:25" ht="12.75" customHeight="1">
      <c r="A85" s="29"/>
      <c r="B85" s="23" t="s">
        <v>1513</v>
      </c>
      <c r="C85" s="160"/>
      <c r="D85" s="24"/>
      <c r="E85" s="27"/>
      <c r="F85" s="27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170"/>
      <c r="X85" s="27"/>
      <c r="Y85" s="154"/>
    </row>
    <row r="86" spans="1:25" ht="12.75" hidden="1" outlineLevel="1">
      <c r="A86" s="2" t="s">
        <v>1831</v>
      </c>
      <c r="C86" s="2" t="s">
        <v>1832</v>
      </c>
      <c r="D86" s="34" t="s">
        <v>1833</v>
      </c>
      <c r="E86" s="2">
        <v>-61654.67</v>
      </c>
      <c r="F86" s="2">
        <v>0</v>
      </c>
      <c r="G86" s="165">
        <f aca="true" t="shared" si="33" ref="G86:G92">E86+F86</f>
        <v>-61654.67</v>
      </c>
      <c r="H86" s="165">
        <v>141001.81</v>
      </c>
      <c r="I86" s="165">
        <v>4130</v>
      </c>
      <c r="J86" s="165">
        <v>0</v>
      </c>
      <c r="K86" s="165">
        <v>0</v>
      </c>
      <c r="L86" s="165">
        <f>I86+J86+K86</f>
        <v>4130</v>
      </c>
      <c r="M86" s="165">
        <v>0</v>
      </c>
      <c r="N86" s="165">
        <v>0</v>
      </c>
      <c r="O86" s="165">
        <v>5455.48</v>
      </c>
      <c r="P86" s="165">
        <f>M86+N86+O86</f>
        <v>5455.48</v>
      </c>
      <c r="Q86" s="165">
        <v>0</v>
      </c>
      <c r="R86" s="165">
        <v>0</v>
      </c>
      <c r="S86" s="165">
        <v>0</v>
      </c>
      <c r="T86" s="165">
        <v>0</v>
      </c>
      <c r="U86" s="165">
        <f aca="true" t="shared" si="34" ref="U86:U92">Q86+R86+S86+T86</f>
        <v>0</v>
      </c>
      <c r="V86" s="165">
        <v>23477.9</v>
      </c>
      <c r="W86" s="166">
        <f>G86+H86+L86+P86+U86+V86</f>
        <v>112410.51999999999</v>
      </c>
      <c r="X86" s="2">
        <v>0</v>
      </c>
      <c r="Y86" s="167">
        <f aca="true" t="shared" si="35" ref="Y86:Y92">W86+X86</f>
        <v>112410.51999999999</v>
      </c>
    </row>
    <row r="87" spans="1:25" ht="12.75" hidden="1" outlineLevel="1">
      <c r="A87" s="2" t="s">
        <v>1834</v>
      </c>
      <c r="C87" s="2" t="s">
        <v>1835</v>
      </c>
      <c r="D87" s="34" t="s">
        <v>1836</v>
      </c>
      <c r="E87" s="2">
        <v>432324.16</v>
      </c>
      <c r="F87" s="2">
        <v>109.39</v>
      </c>
      <c r="G87" s="165">
        <f t="shared" si="33"/>
        <v>432433.55</v>
      </c>
      <c r="H87" s="165">
        <v>142342.04</v>
      </c>
      <c r="I87" s="165">
        <v>6654.5</v>
      </c>
      <c r="J87" s="165">
        <v>0</v>
      </c>
      <c r="K87" s="165">
        <v>0</v>
      </c>
      <c r="L87" s="165">
        <f>I87+J87+K87</f>
        <v>6654.5</v>
      </c>
      <c r="M87" s="165">
        <v>0</v>
      </c>
      <c r="N87" s="165">
        <v>0</v>
      </c>
      <c r="O87" s="165">
        <v>0</v>
      </c>
      <c r="P87" s="165">
        <f>M87+N87+O87</f>
        <v>0</v>
      </c>
      <c r="Q87" s="165">
        <v>42263.8</v>
      </c>
      <c r="R87" s="165">
        <v>0</v>
      </c>
      <c r="S87" s="165">
        <v>0</v>
      </c>
      <c r="T87" s="165">
        <v>0</v>
      </c>
      <c r="U87" s="165">
        <f t="shared" si="34"/>
        <v>42263.8</v>
      </c>
      <c r="V87" s="165">
        <v>2387.53</v>
      </c>
      <c r="W87" s="166">
        <f>G87+H87+L87+P87+U87+V87</f>
        <v>626081.42</v>
      </c>
      <c r="X87" s="2">
        <v>0</v>
      </c>
      <c r="Y87" s="167">
        <f t="shared" si="35"/>
        <v>626081.42</v>
      </c>
    </row>
    <row r="88" spans="1:25" ht="12.75" hidden="1" outlineLevel="1">
      <c r="A88" s="2" t="s">
        <v>1837</v>
      </c>
      <c r="C88" s="2" t="s">
        <v>1838</v>
      </c>
      <c r="D88" s="34" t="s">
        <v>1839</v>
      </c>
      <c r="E88" s="2">
        <v>5689.54</v>
      </c>
      <c r="F88" s="2">
        <v>0</v>
      </c>
      <c r="G88" s="165">
        <f t="shared" si="33"/>
        <v>5689.54</v>
      </c>
      <c r="H88" s="165">
        <v>0</v>
      </c>
      <c r="I88" s="165">
        <v>0</v>
      </c>
      <c r="J88" s="165">
        <v>0</v>
      </c>
      <c r="K88" s="165">
        <v>0</v>
      </c>
      <c r="L88" s="165">
        <f>I88+J88+K88</f>
        <v>0</v>
      </c>
      <c r="M88" s="165">
        <v>0</v>
      </c>
      <c r="N88" s="165">
        <v>0</v>
      </c>
      <c r="O88" s="165">
        <v>0</v>
      </c>
      <c r="P88" s="165">
        <f>M88+N88+O88</f>
        <v>0</v>
      </c>
      <c r="Q88" s="165">
        <v>0</v>
      </c>
      <c r="R88" s="165">
        <v>0</v>
      </c>
      <c r="S88" s="165">
        <v>0</v>
      </c>
      <c r="T88" s="165">
        <v>0</v>
      </c>
      <c r="U88" s="165">
        <f t="shared" si="34"/>
        <v>0</v>
      </c>
      <c r="V88" s="165">
        <v>0</v>
      </c>
      <c r="W88" s="166">
        <f>G88+H88+L88+P88+U88+V88</f>
        <v>5689.54</v>
      </c>
      <c r="X88" s="2">
        <v>0</v>
      </c>
      <c r="Y88" s="167">
        <f t="shared" si="35"/>
        <v>5689.54</v>
      </c>
    </row>
    <row r="89" spans="1:25" ht="12.75" hidden="1" outlineLevel="1">
      <c r="A89" s="2" t="s">
        <v>1840</v>
      </c>
      <c r="C89" s="2" t="s">
        <v>1841</v>
      </c>
      <c r="D89" s="34" t="s">
        <v>1842</v>
      </c>
      <c r="E89" s="2">
        <v>57122.85</v>
      </c>
      <c r="F89" s="2">
        <v>-109.39</v>
      </c>
      <c r="G89" s="165">
        <f t="shared" si="33"/>
        <v>57013.46</v>
      </c>
      <c r="H89" s="165">
        <v>-226.45</v>
      </c>
      <c r="I89" s="165">
        <v>0</v>
      </c>
      <c r="J89" s="165">
        <v>0</v>
      </c>
      <c r="K89" s="165">
        <v>0</v>
      </c>
      <c r="L89" s="165">
        <f>I89+J89+K89</f>
        <v>0</v>
      </c>
      <c r="M89" s="165">
        <v>0</v>
      </c>
      <c r="N89" s="165">
        <v>0</v>
      </c>
      <c r="O89" s="165">
        <v>0</v>
      </c>
      <c r="P89" s="165">
        <f>M89+N89+O89</f>
        <v>0</v>
      </c>
      <c r="Q89" s="165">
        <v>0</v>
      </c>
      <c r="R89" s="165">
        <v>0</v>
      </c>
      <c r="S89" s="165">
        <v>0</v>
      </c>
      <c r="T89" s="165">
        <v>0</v>
      </c>
      <c r="U89" s="165">
        <f t="shared" si="34"/>
        <v>0</v>
      </c>
      <c r="V89" s="165">
        <v>0</v>
      </c>
      <c r="W89" s="166">
        <f>G89+H89+L89+P89+U89+V89</f>
        <v>56787.01</v>
      </c>
      <c r="X89" s="2">
        <v>0</v>
      </c>
      <c r="Y89" s="167">
        <f t="shared" si="35"/>
        <v>56787.01</v>
      </c>
    </row>
    <row r="90" spans="1:25" ht="12.75" hidden="1" outlineLevel="1">
      <c r="A90" s="2" t="s">
        <v>1843</v>
      </c>
      <c r="C90" s="2" t="s">
        <v>1844</v>
      </c>
      <c r="D90" s="34" t="s">
        <v>1845</v>
      </c>
      <c r="E90" s="2">
        <v>1623</v>
      </c>
      <c r="F90" s="2">
        <v>0</v>
      </c>
      <c r="G90" s="165">
        <f t="shared" si="33"/>
        <v>1623</v>
      </c>
      <c r="H90" s="165">
        <v>165.63</v>
      </c>
      <c r="I90" s="165">
        <v>0</v>
      </c>
      <c r="J90" s="165">
        <v>0</v>
      </c>
      <c r="K90" s="165">
        <v>0</v>
      </c>
      <c r="L90" s="165">
        <f>I90+J90+K90</f>
        <v>0</v>
      </c>
      <c r="M90" s="165">
        <v>0</v>
      </c>
      <c r="N90" s="165">
        <v>0</v>
      </c>
      <c r="O90" s="165">
        <v>0</v>
      </c>
      <c r="P90" s="165">
        <f>M90+N90+O90</f>
        <v>0</v>
      </c>
      <c r="Q90" s="165">
        <v>0</v>
      </c>
      <c r="R90" s="165">
        <v>0</v>
      </c>
      <c r="S90" s="165">
        <v>0</v>
      </c>
      <c r="T90" s="165">
        <v>0</v>
      </c>
      <c r="U90" s="165">
        <f t="shared" si="34"/>
        <v>0</v>
      </c>
      <c r="V90" s="165">
        <v>0</v>
      </c>
      <c r="W90" s="166">
        <f>G90+H90+L90+P90+U90+V90</f>
        <v>1788.63</v>
      </c>
      <c r="X90" s="2">
        <v>0</v>
      </c>
      <c r="Y90" s="167">
        <f t="shared" si="35"/>
        <v>1788.63</v>
      </c>
    </row>
    <row r="91" spans="1:25" ht="12.75" customHeight="1" collapsed="1">
      <c r="A91" s="161" t="s">
        <v>1846</v>
      </c>
      <c r="B91" s="30"/>
      <c r="C91" s="161" t="s">
        <v>1514</v>
      </c>
      <c r="D91" s="31"/>
      <c r="E91" s="32">
        <v>435104.88</v>
      </c>
      <c r="F91" s="32">
        <v>0</v>
      </c>
      <c r="G91" s="35">
        <f t="shared" si="33"/>
        <v>435104.88</v>
      </c>
      <c r="H91" s="35">
        <v>283283.03</v>
      </c>
      <c r="I91" s="35">
        <v>10784.5</v>
      </c>
      <c r="J91" s="35">
        <v>0</v>
      </c>
      <c r="K91" s="35">
        <v>0</v>
      </c>
      <c r="L91" s="35">
        <f aca="true" t="shared" si="36" ref="L91:L102">I91+J91+K91</f>
        <v>10784.5</v>
      </c>
      <c r="M91" s="35">
        <v>0</v>
      </c>
      <c r="N91" s="35">
        <v>0</v>
      </c>
      <c r="O91" s="35">
        <v>5455.48</v>
      </c>
      <c r="P91" s="35">
        <f aca="true" t="shared" si="37" ref="P91:P110">M91+N91+O91</f>
        <v>5455.48</v>
      </c>
      <c r="Q91" s="35">
        <v>42263.8</v>
      </c>
      <c r="R91" s="35">
        <v>0</v>
      </c>
      <c r="S91" s="35">
        <v>0</v>
      </c>
      <c r="T91" s="35">
        <v>0</v>
      </c>
      <c r="U91" s="35">
        <f t="shared" si="34"/>
        <v>42263.8</v>
      </c>
      <c r="V91" s="35">
        <v>25865.43</v>
      </c>
      <c r="W91" s="163">
        <f aca="true" t="shared" si="38" ref="W91:W110">G91+H91+L91+P91+U91+V91</f>
        <v>802757.1200000001</v>
      </c>
      <c r="X91" s="32">
        <v>0</v>
      </c>
      <c r="Y91" s="164">
        <f t="shared" si="35"/>
        <v>802757.1200000001</v>
      </c>
    </row>
    <row r="92" spans="1:25" ht="12.75" hidden="1" outlineLevel="1">
      <c r="A92" s="2" t="s">
        <v>1847</v>
      </c>
      <c r="C92" s="2" t="s">
        <v>1848</v>
      </c>
      <c r="D92" s="34" t="s">
        <v>1849</v>
      </c>
      <c r="E92" s="2">
        <v>2582316.62</v>
      </c>
      <c r="F92" s="2">
        <v>0</v>
      </c>
      <c r="G92" s="165">
        <f t="shared" si="33"/>
        <v>2582316.62</v>
      </c>
      <c r="H92" s="165">
        <v>62254.22</v>
      </c>
      <c r="I92" s="165">
        <v>0</v>
      </c>
      <c r="J92" s="165">
        <v>0</v>
      </c>
      <c r="K92" s="165">
        <v>0</v>
      </c>
      <c r="L92" s="165">
        <f>I92+J92+K92</f>
        <v>0</v>
      </c>
      <c r="M92" s="165">
        <v>0</v>
      </c>
      <c r="N92" s="165">
        <v>0</v>
      </c>
      <c r="O92" s="165">
        <v>0</v>
      </c>
      <c r="P92" s="165">
        <f>M92+N92+O92</f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f t="shared" si="34"/>
        <v>0</v>
      </c>
      <c r="V92" s="165">
        <v>0</v>
      </c>
      <c r="W92" s="166">
        <f>G92+H92+L92+P92+U92+V92</f>
        <v>2644570.8400000003</v>
      </c>
      <c r="X92" s="2">
        <v>0</v>
      </c>
      <c r="Y92" s="167">
        <f t="shared" si="35"/>
        <v>2644570.8400000003</v>
      </c>
    </row>
    <row r="93" spans="1:25" ht="12.75" customHeight="1" collapsed="1">
      <c r="A93" s="161" t="s">
        <v>1850</v>
      </c>
      <c r="B93" s="30"/>
      <c r="C93" s="161" t="s">
        <v>1851</v>
      </c>
      <c r="D93" s="31"/>
      <c r="E93" s="32">
        <v>2582316.62</v>
      </c>
      <c r="F93" s="32">
        <v>0</v>
      </c>
      <c r="G93" s="37">
        <f aca="true" t="shared" si="39" ref="G93:G102">E93+F93</f>
        <v>2582316.62</v>
      </c>
      <c r="H93" s="37">
        <v>62254.22</v>
      </c>
      <c r="I93" s="37">
        <v>0</v>
      </c>
      <c r="J93" s="37">
        <v>0</v>
      </c>
      <c r="K93" s="37">
        <v>0</v>
      </c>
      <c r="L93" s="37">
        <f t="shared" si="36"/>
        <v>0</v>
      </c>
      <c r="M93" s="37">
        <v>0</v>
      </c>
      <c r="N93" s="37">
        <v>0</v>
      </c>
      <c r="O93" s="37">
        <v>0</v>
      </c>
      <c r="P93" s="37">
        <f t="shared" si="37"/>
        <v>0</v>
      </c>
      <c r="Q93" s="37">
        <v>0</v>
      </c>
      <c r="R93" s="37">
        <v>0</v>
      </c>
      <c r="S93" s="37">
        <v>0</v>
      </c>
      <c r="T93" s="37">
        <v>0</v>
      </c>
      <c r="U93" s="37">
        <f aca="true" t="shared" si="40" ref="U93:U102">Q93+R93+S93+T93</f>
        <v>0</v>
      </c>
      <c r="V93" s="37">
        <v>0</v>
      </c>
      <c r="W93" s="168">
        <f t="shared" si="38"/>
        <v>2644570.8400000003</v>
      </c>
      <c r="X93" s="32">
        <v>0</v>
      </c>
      <c r="Y93" s="164">
        <f aca="true" t="shared" si="41" ref="Y93:Y110">W93+X93</f>
        <v>2644570.8400000003</v>
      </c>
    </row>
    <row r="94" spans="1:25" ht="12.75" hidden="1" outlineLevel="1">
      <c r="A94" s="2" t="s">
        <v>1852</v>
      </c>
      <c r="C94" s="2" t="s">
        <v>1853</v>
      </c>
      <c r="D94" s="34" t="s">
        <v>1854</v>
      </c>
      <c r="E94" s="2">
        <v>2533048.53</v>
      </c>
      <c r="F94" s="2">
        <v>2352.38</v>
      </c>
      <c r="G94" s="165">
        <f>E94+F94</f>
        <v>2535400.9099999997</v>
      </c>
      <c r="H94" s="165">
        <v>386800.21</v>
      </c>
      <c r="I94" s="165">
        <v>0</v>
      </c>
      <c r="J94" s="165">
        <v>0</v>
      </c>
      <c r="K94" s="165">
        <v>0</v>
      </c>
      <c r="L94" s="165">
        <f>I94+J94+K94</f>
        <v>0</v>
      </c>
      <c r="M94" s="165">
        <v>0</v>
      </c>
      <c r="N94" s="165">
        <v>0</v>
      </c>
      <c r="O94" s="165">
        <v>0</v>
      </c>
      <c r="P94" s="165">
        <f>M94+N94+O94</f>
        <v>0</v>
      </c>
      <c r="Q94" s="165">
        <v>0</v>
      </c>
      <c r="R94" s="165">
        <v>0</v>
      </c>
      <c r="S94" s="165">
        <v>0</v>
      </c>
      <c r="T94" s="165">
        <v>0</v>
      </c>
      <c r="U94" s="165">
        <f>Q94+R94+S94+T94</f>
        <v>0</v>
      </c>
      <c r="V94" s="165">
        <v>0</v>
      </c>
      <c r="W94" s="166">
        <f>G94+H94+L94+P94+U94+V94</f>
        <v>2922201.1199999996</v>
      </c>
      <c r="X94" s="2">
        <v>0</v>
      </c>
      <c r="Y94" s="167">
        <f>W94+X94</f>
        <v>2922201.1199999996</v>
      </c>
    </row>
    <row r="95" spans="1:25" ht="12.75" customHeight="1" collapsed="1">
      <c r="A95" s="161" t="s">
        <v>1855</v>
      </c>
      <c r="B95" s="30"/>
      <c r="C95" s="161" t="s">
        <v>1856</v>
      </c>
      <c r="D95" s="31"/>
      <c r="E95" s="32">
        <v>2533048.53</v>
      </c>
      <c r="F95" s="32">
        <v>2352.38</v>
      </c>
      <c r="G95" s="37">
        <f t="shared" si="39"/>
        <v>2535400.9099999997</v>
      </c>
      <c r="H95" s="37">
        <v>386800.21</v>
      </c>
      <c r="I95" s="37">
        <v>0</v>
      </c>
      <c r="J95" s="37">
        <v>0</v>
      </c>
      <c r="K95" s="37">
        <v>0</v>
      </c>
      <c r="L95" s="37">
        <f t="shared" si="36"/>
        <v>0</v>
      </c>
      <c r="M95" s="37">
        <v>0</v>
      </c>
      <c r="N95" s="37">
        <v>0</v>
      </c>
      <c r="O95" s="37">
        <v>0</v>
      </c>
      <c r="P95" s="37">
        <f t="shared" si="37"/>
        <v>0</v>
      </c>
      <c r="Q95" s="37">
        <v>0</v>
      </c>
      <c r="R95" s="37">
        <v>0</v>
      </c>
      <c r="S95" s="37">
        <v>0</v>
      </c>
      <c r="T95" s="37">
        <v>0</v>
      </c>
      <c r="U95" s="37">
        <f t="shared" si="40"/>
        <v>0</v>
      </c>
      <c r="V95" s="37">
        <v>0</v>
      </c>
      <c r="W95" s="168">
        <f t="shared" si="38"/>
        <v>2922201.1199999996</v>
      </c>
      <c r="X95" s="32">
        <v>0</v>
      </c>
      <c r="Y95" s="164">
        <f t="shared" si="41"/>
        <v>2922201.1199999996</v>
      </c>
    </row>
    <row r="96" spans="1:25" ht="12.75" customHeight="1">
      <c r="A96" s="161" t="s">
        <v>1857</v>
      </c>
      <c r="B96" s="30"/>
      <c r="C96" s="161" t="s">
        <v>1858</v>
      </c>
      <c r="D96" s="31"/>
      <c r="E96" s="32">
        <v>0</v>
      </c>
      <c r="F96" s="32">
        <v>0</v>
      </c>
      <c r="G96" s="37">
        <f t="shared" si="39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36"/>
        <v>0</v>
      </c>
      <c r="M96" s="37">
        <v>0</v>
      </c>
      <c r="N96" s="37">
        <v>0</v>
      </c>
      <c r="O96" s="37">
        <v>0</v>
      </c>
      <c r="P96" s="37">
        <f t="shared" si="37"/>
        <v>0</v>
      </c>
      <c r="Q96" s="37">
        <v>0</v>
      </c>
      <c r="R96" s="37">
        <v>0</v>
      </c>
      <c r="S96" s="37">
        <v>0</v>
      </c>
      <c r="T96" s="37">
        <v>0</v>
      </c>
      <c r="U96" s="37">
        <f t="shared" si="40"/>
        <v>0</v>
      </c>
      <c r="V96" s="37">
        <v>0</v>
      </c>
      <c r="W96" s="168">
        <f t="shared" si="38"/>
        <v>0</v>
      </c>
      <c r="X96" s="32">
        <v>0</v>
      </c>
      <c r="Y96" s="164">
        <f t="shared" si="41"/>
        <v>0</v>
      </c>
    </row>
    <row r="97" spans="1:25" ht="12.75" customHeight="1">
      <c r="A97" s="161" t="s">
        <v>1859</v>
      </c>
      <c r="B97" s="30"/>
      <c r="C97" s="161" t="s">
        <v>1860</v>
      </c>
      <c r="D97" s="31"/>
      <c r="E97" s="32">
        <v>0</v>
      </c>
      <c r="F97" s="32">
        <v>0</v>
      </c>
      <c r="G97" s="37">
        <f t="shared" si="39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36"/>
        <v>0</v>
      </c>
      <c r="M97" s="37">
        <v>0</v>
      </c>
      <c r="N97" s="37">
        <v>0</v>
      </c>
      <c r="O97" s="37">
        <v>0</v>
      </c>
      <c r="P97" s="37">
        <f t="shared" si="37"/>
        <v>0</v>
      </c>
      <c r="Q97" s="37">
        <v>0</v>
      </c>
      <c r="R97" s="37">
        <v>0</v>
      </c>
      <c r="S97" s="37">
        <v>0</v>
      </c>
      <c r="T97" s="37">
        <v>0</v>
      </c>
      <c r="U97" s="37">
        <f t="shared" si="40"/>
        <v>0</v>
      </c>
      <c r="V97" s="37">
        <v>0</v>
      </c>
      <c r="W97" s="168">
        <f t="shared" si="38"/>
        <v>0</v>
      </c>
      <c r="X97" s="32">
        <v>0</v>
      </c>
      <c r="Y97" s="164">
        <f t="shared" si="41"/>
        <v>0</v>
      </c>
    </row>
    <row r="98" spans="1:25" ht="12.75" hidden="1" outlineLevel="1">
      <c r="A98" s="2" t="s">
        <v>1861</v>
      </c>
      <c r="C98" s="2" t="s">
        <v>1862</v>
      </c>
      <c r="D98" s="34" t="s">
        <v>1863</v>
      </c>
      <c r="E98" s="2">
        <v>9139539.69</v>
      </c>
      <c r="F98" s="2">
        <v>0</v>
      </c>
      <c r="G98" s="165">
        <f>E98+F98</f>
        <v>9139539.69</v>
      </c>
      <c r="H98" s="165">
        <v>0</v>
      </c>
      <c r="I98" s="165">
        <v>0</v>
      </c>
      <c r="J98" s="165">
        <v>0</v>
      </c>
      <c r="K98" s="165">
        <v>0</v>
      </c>
      <c r="L98" s="165">
        <f>I98+J98+K98</f>
        <v>0</v>
      </c>
      <c r="M98" s="165">
        <v>0</v>
      </c>
      <c r="N98" s="165">
        <v>0</v>
      </c>
      <c r="O98" s="165">
        <v>0</v>
      </c>
      <c r="P98" s="165">
        <f>M98+N98+O98</f>
        <v>0</v>
      </c>
      <c r="Q98" s="165">
        <v>0</v>
      </c>
      <c r="R98" s="165">
        <v>0</v>
      </c>
      <c r="S98" s="165">
        <v>0</v>
      </c>
      <c r="T98" s="165">
        <v>0</v>
      </c>
      <c r="U98" s="165">
        <f>Q98+R98+S98+T98</f>
        <v>0</v>
      </c>
      <c r="V98" s="165">
        <v>0</v>
      </c>
      <c r="W98" s="166">
        <f>G98+H98+L98+P98+U98+V98</f>
        <v>9139539.69</v>
      </c>
      <c r="X98" s="2">
        <v>0</v>
      </c>
      <c r="Y98" s="167">
        <f>W98+X98</f>
        <v>9139539.69</v>
      </c>
    </row>
    <row r="99" spans="1:25" ht="12.75" hidden="1" outlineLevel="1">
      <c r="A99" s="2" t="s">
        <v>1864</v>
      </c>
      <c r="C99" s="2" t="s">
        <v>1865</v>
      </c>
      <c r="D99" s="34" t="s">
        <v>1866</v>
      </c>
      <c r="E99" s="2">
        <v>291107.46</v>
      </c>
      <c r="F99" s="2">
        <v>0</v>
      </c>
      <c r="G99" s="165">
        <f>E99+F99</f>
        <v>291107.46</v>
      </c>
      <c r="H99" s="165">
        <v>0</v>
      </c>
      <c r="I99" s="165">
        <v>450.41</v>
      </c>
      <c r="J99" s="165">
        <v>0</v>
      </c>
      <c r="K99" s="165">
        <v>0</v>
      </c>
      <c r="L99" s="165">
        <f>I99+J99+K99</f>
        <v>450.41</v>
      </c>
      <c r="M99" s="165">
        <v>0</v>
      </c>
      <c r="N99" s="165">
        <v>0</v>
      </c>
      <c r="O99" s="165">
        <v>0</v>
      </c>
      <c r="P99" s="165">
        <f>M99+N99+O99</f>
        <v>0</v>
      </c>
      <c r="Q99" s="165">
        <v>0</v>
      </c>
      <c r="R99" s="165">
        <v>0</v>
      </c>
      <c r="S99" s="165">
        <v>0</v>
      </c>
      <c r="T99" s="165">
        <v>0</v>
      </c>
      <c r="U99" s="165">
        <f>Q99+R99+S99+T99</f>
        <v>0</v>
      </c>
      <c r="V99" s="165">
        <v>0</v>
      </c>
      <c r="W99" s="166">
        <f>G99+H99+L99+P99+U99+V99</f>
        <v>291557.87</v>
      </c>
      <c r="X99" s="2">
        <v>0</v>
      </c>
      <c r="Y99" s="167">
        <f>W99+X99</f>
        <v>291557.87</v>
      </c>
    </row>
    <row r="100" spans="1:25" ht="12.75" customHeight="1" collapsed="1">
      <c r="A100" s="161" t="s">
        <v>1867</v>
      </c>
      <c r="B100" s="30"/>
      <c r="C100" s="161" t="s">
        <v>1868</v>
      </c>
      <c r="D100" s="31"/>
      <c r="E100" s="32">
        <v>9430647.15</v>
      </c>
      <c r="F100" s="32">
        <v>0</v>
      </c>
      <c r="G100" s="37">
        <f t="shared" si="39"/>
        <v>9430647.15</v>
      </c>
      <c r="H100" s="37">
        <v>0</v>
      </c>
      <c r="I100" s="37">
        <v>450.41</v>
      </c>
      <c r="J100" s="37">
        <v>0</v>
      </c>
      <c r="K100" s="37">
        <v>0</v>
      </c>
      <c r="L100" s="37">
        <f t="shared" si="36"/>
        <v>450.41</v>
      </c>
      <c r="M100" s="37">
        <v>0</v>
      </c>
      <c r="N100" s="37">
        <v>0</v>
      </c>
      <c r="O100" s="37">
        <v>0</v>
      </c>
      <c r="P100" s="37">
        <f t="shared" si="37"/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f t="shared" si="40"/>
        <v>0</v>
      </c>
      <c r="V100" s="37">
        <v>0</v>
      </c>
      <c r="W100" s="168">
        <f t="shared" si="38"/>
        <v>9431097.56</v>
      </c>
      <c r="X100" s="32">
        <v>0</v>
      </c>
      <c r="Y100" s="164">
        <f t="shared" si="41"/>
        <v>9431097.56</v>
      </c>
    </row>
    <row r="101" spans="1:25" ht="12.75" hidden="1" outlineLevel="1">
      <c r="A101" s="2" t="s">
        <v>1869</v>
      </c>
      <c r="C101" s="2" t="s">
        <v>1870</v>
      </c>
      <c r="D101" s="34" t="s">
        <v>1871</v>
      </c>
      <c r="E101" s="2">
        <v>0</v>
      </c>
      <c r="F101" s="2">
        <v>0</v>
      </c>
      <c r="G101" s="165">
        <f>E101+F101</f>
        <v>0</v>
      </c>
      <c r="H101" s="165">
        <v>0</v>
      </c>
      <c r="I101" s="165">
        <v>0</v>
      </c>
      <c r="J101" s="165">
        <v>0</v>
      </c>
      <c r="K101" s="165">
        <v>0</v>
      </c>
      <c r="L101" s="165">
        <f>I101+J101+K101</f>
        <v>0</v>
      </c>
      <c r="M101" s="165">
        <v>0</v>
      </c>
      <c r="N101" s="165">
        <v>0</v>
      </c>
      <c r="O101" s="165">
        <v>0</v>
      </c>
      <c r="P101" s="165">
        <f>M101+N101+O101</f>
        <v>0</v>
      </c>
      <c r="Q101" s="165">
        <v>0</v>
      </c>
      <c r="R101" s="165">
        <v>0</v>
      </c>
      <c r="S101" s="165">
        <v>0</v>
      </c>
      <c r="T101" s="165">
        <v>0</v>
      </c>
      <c r="U101" s="165">
        <f>Q101+R101+S101+T101</f>
        <v>0</v>
      </c>
      <c r="V101" s="165">
        <v>32483.34</v>
      </c>
      <c r="W101" s="166">
        <f>G101+H101+L101+P101+U101+V101</f>
        <v>32483.34</v>
      </c>
      <c r="X101" s="2">
        <v>0</v>
      </c>
      <c r="Y101" s="167">
        <f>W101+X101</f>
        <v>32483.34</v>
      </c>
    </row>
    <row r="102" spans="1:25" ht="12.75" customHeight="1" collapsed="1">
      <c r="A102" s="161" t="s">
        <v>1872</v>
      </c>
      <c r="B102" s="30"/>
      <c r="C102" s="161" t="s">
        <v>1873</v>
      </c>
      <c r="D102" s="31"/>
      <c r="E102" s="32">
        <v>0</v>
      </c>
      <c r="F102" s="32">
        <v>0</v>
      </c>
      <c r="G102" s="37">
        <f t="shared" si="39"/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f t="shared" si="36"/>
        <v>0</v>
      </c>
      <c r="M102" s="37">
        <v>0</v>
      </c>
      <c r="N102" s="37">
        <v>0</v>
      </c>
      <c r="O102" s="37">
        <v>0</v>
      </c>
      <c r="P102" s="37">
        <f t="shared" si="37"/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f t="shared" si="40"/>
        <v>0</v>
      </c>
      <c r="V102" s="37">
        <v>32483.34</v>
      </c>
      <c r="W102" s="168">
        <f t="shared" si="38"/>
        <v>32483.34</v>
      </c>
      <c r="X102" s="32">
        <v>0</v>
      </c>
      <c r="Y102" s="164">
        <f t="shared" si="41"/>
        <v>32483.34</v>
      </c>
    </row>
    <row r="103" spans="1:25" ht="12.75" customHeight="1">
      <c r="A103" s="161" t="s">
        <v>1486</v>
      </c>
      <c r="B103" s="30"/>
      <c r="C103" s="161" t="s">
        <v>1518</v>
      </c>
      <c r="D103" s="31"/>
      <c r="E103" s="32">
        <v>0</v>
      </c>
      <c r="F103" s="32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f t="shared" si="37"/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>V81-V91-V93-V95-V96-V97-V100-V102-V106-V107-V109-V110</f>
        <v>1758583.79</v>
      </c>
      <c r="W103" s="168">
        <f t="shared" si="38"/>
        <v>1758583.79</v>
      </c>
      <c r="X103" s="32">
        <v>0</v>
      </c>
      <c r="Y103" s="164">
        <f t="shared" si="41"/>
        <v>1758583.79</v>
      </c>
    </row>
    <row r="104" spans="1:25" ht="12.75" customHeight="1">
      <c r="A104" s="161" t="s">
        <v>1874</v>
      </c>
      <c r="B104" s="30"/>
      <c r="C104" s="161" t="s">
        <v>1875</v>
      </c>
      <c r="D104" s="31"/>
      <c r="E104" s="32">
        <v>0</v>
      </c>
      <c r="F104" s="32">
        <v>0</v>
      </c>
      <c r="G104" s="37">
        <f aca="true" t="shared" si="42" ref="G104:G110">E104+F104</f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f aca="true" t="shared" si="43" ref="L104:L110">I104+J104+K104</f>
        <v>0</v>
      </c>
      <c r="M104" s="37">
        <v>0</v>
      </c>
      <c r="N104" s="37">
        <v>0</v>
      </c>
      <c r="O104" s="37">
        <v>0</v>
      </c>
      <c r="P104" s="37">
        <f t="shared" si="37"/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f aca="true" t="shared" si="44" ref="U104:U110">Q104+R104+S104+T104</f>
        <v>0</v>
      </c>
      <c r="V104" s="37">
        <v>0</v>
      </c>
      <c r="W104" s="168">
        <f t="shared" si="38"/>
        <v>0</v>
      </c>
      <c r="X104" s="32">
        <v>0</v>
      </c>
      <c r="Y104" s="164">
        <f t="shared" si="41"/>
        <v>0</v>
      </c>
    </row>
    <row r="105" spans="1:25" ht="12.75" hidden="1" outlineLevel="1">
      <c r="A105" s="2" t="s">
        <v>1876</v>
      </c>
      <c r="C105" s="2" t="s">
        <v>1877</v>
      </c>
      <c r="D105" s="34" t="s">
        <v>1878</v>
      </c>
      <c r="E105" s="2">
        <v>0</v>
      </c>
      <c r="F105" s="2">
        <v>0</v>
      </c>
      <c r="G105" s="165">
        <f t="shared" si="42"/>
        <v>0</v>
      </c>
      <c r="H105" s="165">
        <v>0</v>
      </c>
      <c r="I105" s="165">
        <v>0</v>
      </c>
      <c r="J105" s="165">
        <v>0</v>
      </c>
      <c r="K105" s="165">
        <v>0</v>
      </c>
      <c r="L105" s="165">
        <f t="shared" si="43"/>
        <v>0</v>
      </c>
      <c r="M105" s="165">
        <v>0</v>
      </c>
      <c r="N105" s="165">
        <v>3378046.24</v>
      </c>
      <c r="O105" s="165">
        <v>0</v>
      </c>
      <c r="P105" s="165">
        <f>M105+N105+O105</f>
        <v>3378046.24</v>
      </c>
      <c r="Q105" s="165">
        <v>0</v>
      </c>
      <c r="R105" s="165">
        <v>0</v>
      </c>
      <c r="S105" s="165">
        <v>0</v>
      </c>
      <c r="T105" s="165">
        <v>0</v>
      </c>
      <c r="U105" s="165">
        <f t="shared" si="44"/>
        <v>0</v>
      </c>
      <c r="V105" s="165">
        <v>0</v>
      </c>
      <c r="W105" s="166">
        <f>G105+H105+L105+P105+U105+V105</f>
        <v>3378046.24</v>
      </c>
      <c r="X105" s="2">
        <v>0</v>
      </c>
      <c r="Y105" s="167">
        <f>W105+X105</f>
        <v>3378046.24</v>
      </c>
    </row>
    <row r="106" spans="1:25" ht="12.75" customHeight="1" collapsed="1">
      <c r="A106" s="161" t="s">
        <v>1879</v>
      </c>
      <c r="B106" s="30"/>
      <c r="C106" s="161" t="s">
        <v>1520</v>
      </c>
      <c r="D106" s="31"/>
      <c r="E106" s="32">
        <v>0</v>
      </c>
      <c r="F106" s="32">
        <v>0</v>
      </c>
      <c r="G106" s="37">
        <f t="shared" si="42"/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 t="shared" si="43"/>
        <v>0</v>
      </c>
      <c r="M106" s="37">
        <v>0</v>
      </c>
      <c r="N106" s="37">
        <v>3378046.24</v>
      </c>
      <c r="O106" s="37">
        <v>0</v>
      </c>
      <c r="P106" s="37">
        <f t="shared" si="37"/>
        <v>3378046.24</v>
      </c>
      <c r="Q106" s="37">
        <v>0</v>
      </c>
      <c r="R106" s="37">
        <v>0</v>
      </c>
      <c r="S106" s="37">
        <v>0</v>
      </c>
      <c r="T106" s="37">
        <v>0</v>
      </c>
      <c r="U106" s="37">
        <f t="shared" si="44"/>
        <v>0</v>
      </c>
      <c r="V106" s="37">
        <v>0</v>
      </c>
      <c r="W106" s="168">
        <f t="shared" si="38"/>
        <v>3378046.24</v>
      </c>
      <c r="X106" s="32">
        <v>0</v>
      </c>
      <c r="Y106" s="164">
        <f t="shared" si="41"/>
        <v>3378046.24</v>
      </c>
    </row>
    <row r="107" spans="1:25" ht="12.75" customHeight="1">
      <c r="A107" s="161" t="s">
        <v>1880</v>
      </c>
      <c r="B107" s="30"/>
      <c r="C107" s="161" t="s">
        <v>1881</v>
      </c>
      <c r="D107" s="31"/>
      <c r="E107" s="32">
        <v>0</v>
      </c>
      <c r="F107" s="32">
        <v>0</v>
      </c>
      <c r="G107" s="37">
        <f t="shared" si="42"/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f t="shared" si="43"/>
        <v>0</v>
      </c>
      <c r="M107" s="37">
        <v>0</v>
      </c>
      <c r="N107" s="37">
        <v>0</v>
      </c>
      <c r="O107" s="37">
        <v>0</v>
      </c>
      <c r="P107" s="37">
        <f t="shared" si="37"/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f t="shared" si="44"/>
        <v>0</v>
      </c>
      <c r="V107" s="37">
        <v>0</v>
      </c>
      <c r="W107" s="168">
        <f t="shared" si="38"/>
        <v>0</v>
      </c>
      <c r="X107" s="32">
        <v>0</v>
      </c>
      <c r="Y107" s="164">
        <f t="shared" si="41"/>
        <v>0</v>
      </c>
    </row>
    <row r="108" spans="1:25" ht="12.75" hidden="1" outlineLevel="1">
      <c r="A108" s="2" t="s">
        <v>1882</v>
      </c>
      <c r="C108" s="2" t="s">
        <v>1883</v>
      </c>
      <c r="D108" s="34" t="s">
        <v>1884</v>
      </c>
      <c r="E108" s="2">
        <v>0</v>
      </c>
      <c r="F108" s="2">
        <v>0</v>
      </c>
      <c r="G108" s="165">
        <f t="shared" si="42"/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f t="shared" si="43"/>
        <v>0</v>
      </c>
      <c r="M108" s="165">
        <v>0</v>
      </c>
      <c r="N108" s="165">
        <v>0</v>
      </c>
      <c r="O108" s="165">
        <v>0</v>
      </c>
      <c r="P108" s="165">
        <f>M108+N108+O108</f>
        <v>0</v>
      </c>
      <c r="Q108" s="165">
        <v>0</v>
      </c>
      <c r="R108" s="165">
        <v>0</v>
      </c>
      <c r="S108" s="165">
        <v>0</v>
      </c>
      <c r="T108" s="165">
        <v>1337266.95</v>
      </c>
      <c r="U108" s="165">
        <f t="shared" si="44"/>
        <v>1337266.95</v>
      </c>
      <c r="V108" s="165">
        <v>0</v>
      </c>
      <c r="W108" s="166">
        <f>G108+H108+L108+P108+U108+V108</f>
        <v>1337266.95</v>
      </c>
      <c r="X108" s="2">
        <v>0</v>
      </c>
      <c r="Y108" s="167">
        <f>W108+X108</f>
        <v>1337266.95</v>
      </c>
    </row>
    <row r="109" spans="1:25" ht="12.75" customHeight="1" collapsed="1">
      <c r="A109" s="161" t="s">
        <v>1885</v>
      </c>
      <c r="B109" s="30"/>
      <c r="C109" s="161" t="s">
        <v>1521</v>
      </c>
      <c r="D109" s="31"/>
      <c r="E109" s="32">
        <v>0</v>
      </c>
      <c r="F109" s="32">
        <v>0</v>
      </c>
      <c r="G109" s="37">
        <f t="shared" si="42"/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f t="shared" si="43"/>
        <v>0</v>
      </c>
      <c r="M109" s="37">
        <v>0</v>
      </c>
      <c r="N109" s="37">
        <v>0</v>
      </c>
      <c r="O109" s="37">
        <v>0</v>
      </c>
      <c r="P109" s="37">
        <f t="shared" si="37"/>
        <v>0</v>
      </c>
      <c r="Q109" s="37">
        <v>0</v>
      </c>
      <c r="R109" s="37">
        <v>0</v>
      </c>
      <c r="S109" s="37">
        <v>0</v>
      </c>
      <c r="T109" s="37">
        <v>1337266.95</v>
      </c>
      <c r="U109" s="37">
        <f t="shared" si="44"/>
        <v>1337266.95</v>
      </c>
      <c r="V109" s="37">
        <v>0</v>
      </c>
      <c r="W109" s="168">
        <f t="shared" si="38"/>
        <v>1337266.95</v>
      </c>
      <c r="X109" s="32">
        <v>0</v>
      </c>
      <c r="Y109" s="164">
        <f t="shared" si="41"/>
        <v>1337266.95</v>
      </c>
    </row>
    <row r="110" spans="1:25" ht="12.75" customHeight="1">
      <c r="A110" s="161" t="s">
        <v>1886</v>
      </c>
      <c r="B110" s="30"/>
      <c r="C110" s="161" t="s">
        <v>1887</v>
      </c>
      <c r="D110" s="31"/>
      <c r="E110" s="32">
        <v>0</v>
      </c>
      <c r="F110" s="32">
        <v>0</v>
      </c>
      <c r="G110" s="37">
        <f t="shared" si="42"/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f t="shared" si="43"/>
        <v>0</v>
      </c>
      <c r="M110" s="37">
        <v>0</v>
      </c>
      <c r="N110" s="37">
        <v>0</v>
      </c>
      <c r="O110" s="37">
        <v>0</v>
      </c>
      <c r="P110" s="37">
        <f t="shared" si="37"/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f t="shared" si="44"/>
        <v>0</v>
      </c>
      <c r="V110" s="37">
        <v>0</v>
      </c>
      <c r="W110" s="168">
        <f t="shared" si="38"/>
        <v>0</v>
      </c>
      <c r="X110" s="32">
        <v>0</v>
      </c>
      <c r="Y110" s="164">
        <f t="shared" si="41"/>
        <v>0</v>
      </c>
    </row>
    <row r="111" spans="1:25" ht="12.75" customHeight="1">
      <c r="A111" s="34"/>
      <c r="B111" s="30"/>
      <c r="C111" s="161"/>
      <c r="D111" s="31"/>
      <c r="E111" s="32"/>
      <c r="F111" s="32"/>
      <c r="G111" s="37"/>
      <c r="H111" s="37"/>
      <c r="I111" s="37"/>
      <c r="J111" s="37"/>
      <c r="K111" s="37"/>
      <c r="L111" s="37"/>
      <c r="M111" s="37"/>
      <c r="N111" s="37"/>
      <c r="O111" s="37"/>
      <c r="P111" s="40"/>
      <c r="Q111" s="37"/>
      <c r="R111" s="37"/>
      <c r="S111" s="37"/>
      <c r="T111" s="37"/>
      <c r="U111" s="37"/>
      <c r="V111" s="37"/>
      <c r="W111" s="168"/>
      <c r="X111" s="32"/>
      <c r="Y111" s="154"/>
    </row>
    <row r="112" spans="1:25" s="169" customFormat="1" ht="12.75" customHeight="1">
      <c r="A112" s="29"/>
      <c r="B112" s="23" t="s">
        <v>1522</v>
      </c>
      <c r="C112" s="160"/>
      <c r="D112" s="24"/>
      <c r="E112" s="27">
        <f aca="true" t="shared" si="45" ref="E112:Y112">E91+E93+E95+E96+E102+E97+E100+E103+E106+E107+E109+E110+E104</f>
        <v>14981117.18</v>
      </c>
      <c r="F112" s="27">
        <f t="shared" si="45"/>
        <v>2352.38</v>
      </c>
      <c r="G112" s="40">
        <f t="shared" si="45"/>
        <v>14983469.56</v>
      </c>
      <c r="H112" s="40">
        <f t="shared" si="45"/>
        <v>732337.46</v>
      </c>
      <c r="I112" s="40">
        <f t="shared" si="45"/>
        <v>11234.91</v>
      </c>
      <c r="J112" s="40">
        <f t="shared" si="45"/>
        <v>0</v>
      </c>
      <c r="K112" s="40">
        <f t="shared" si="45"/>
        <v>0</v>
      </c>
      <c r="L112" s="40">
        <f t="shared" si="45"/>
        <v>11234.91</v>
      </c>
      <c r="M112" s="40">
        <f t="shared" si="45"/>
        <v>0</v>
      </c>
      <c r="N112" s="40">
        <f t="shared" si="45"/>
        <v>3378046.24</v>
      </c>
      <c r="O112" s="40">
        <f t="shared" si="45"/>
        <v>5455.48</v>
      </c>
      <c r="P112" s="40">
        <f t="shared" si="45"/>
        <v>3383501.72</v>
      </c>
      <c r="Q112" s="40">
        <f t="shared" si="45"/>
        <v>42263.8</v>
      </c>
      <c r="R112" s="40">
        <f t="shared" si="45"/>
        <v>0</v>
      </c>
      <c r="S112" s="40">
        <f t="shared" si="45"/>
        <v>0</v>
      </c>
      <c r="T112" s="40">
        <f t="shared" si="45"/>
        <v>1337266.95</v>
      </c>
      <c r="U112" s="40">
        <f t="shared" si="45"/>
        <v>1379530.75</v>
      </c>
      <c r="V112" s="40">
        <f t="shared" si="45"/>
        <v>1816932.56</v>
      </c>
      <c r="W112" s="40">
        <f t="shared" si="45"/>
        <v>22307006.959999997</v>
      </c>
      <c r="X112" s="27">
        <f t="shared" si="45"/>
        <v>0</v>
      </c>
      <c r="Y112" s="27">
        <f t="shared" si="45"/>
        <v>22307006.959999997</v>
      </c>
    </row>
    <row r="113" spans="1:25" s="169" customFormat="1" ht="12.75" customHeight="1">
      <c r="A113" s="29"/>
      <c r="B113" s="23"/>
      <c r="C113" s="160"/>
      <c r="D113" s="24"/>
      <c r="E113" s="27"/>
      <c r="F113" s="27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27"/>
      <c r="Y113" s="27"/>
    </row>
    <row r="114" spans="1:25" ht="12.75" customHeight="1">
      <c r="A114" s="29"/>
      <c r="B114" s="23" t="s">
        <v>1523</v>
      </c>
      <c r="C114" s="160"/>
      <c r="D114" s="24"/>
      <c r="E114" s="27"/>
      <c r="F114" s="27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170"/>
      <c r="X114" s="27"/>
      <c r="Y114" s="154"/>
    </row>
    <row r="115" spans="1:25" ht="12.75" customHeight="1">
      <c r="A115" s="2" t="s">
        <v>1888</v>
      </c>
      <c r="B115" s="30"/>
      <c r="C115" s="161" t="s">
        <v>1517</v>
      </c>
      <c r="D115" s="31"/>
      <c r="E115" s="32">
        <v>0</v>
      </c>
      <c r="F115" s="32">
        <v>0</v>
      </c>
      <c r="G115" s="37">
        <f aca="true" t="shared" si="46" ref="G115:G120">E115+F115</f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f aca="true" t="shared" si="47" ref="L115:L120">I115+J115+K115</f>
        <v>0</v>
      </c>
      <c r="M115" s="37">
        <v>0</v>
      </c>
      <c r="N115" s="37">
        <v>0</v>
      </c>
      <c r="O115" s="37">
        <v>0</v>
      </c>
      <c r="P115" s="37">
        <f aca="true" t="shared" si="48" ref="P115:P120">M115+N115+O115</f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f aca="true" t="shared" si="49" ref="U115:U120">Q115+R115+S115+T115</f>
        <v>0</v>
      </c>
      <c r="V115" s="37">
        <v>0</v>
      </c>
      <c r="W115" s="168">
        <f aca="true" t="shared" si="50" ref="W115:W120">G115+H115+L115+P115+U115+V115</f>
        <v>0</v>
      </c>
      <c r="X115" s="32">
        <v>0</v>
      </c>
      <c r="Y115" s="164">
        <f aca="true" t="shared" si="51" ref="Y115:Y120">W115+X115</f>
        <v>0</v>
      </c>
    </row>
    <row r="116" spans="1:25" ht="12.75" customHeight="1">
      <c r="A116" s="161" t="s">
        <v>1889</v>
      </c>
      <c r="B116" s="30"/>
      <c r="C116" s="161" t="s">
        <v>1890</v>
      </c>
      <c r="D116" s="31"/>
      <c r="E116" s="32">
        <v>0</v>
      </c>
      <c r="F116" s="32">
        <v>0</v>
      </c>
      <c r="G116" s="37">
        <f t="shared" si="46"/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f t="shared" si="47"/>
        <v>0</v>
      </c>
      <c r="M116" s="37">
        <v>0</v>
      </c>
      <c r="N116" s="37">
        <v>0</v>
      </c>
      <c r="O116" s="37">
        <v>0</v>
      </c>
      <c r="P116" s="37">
        <f t="shared" si="48"/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f t="shared" si="49"/>
        <v>0</v>
      </c>
      <c r="V116" s="37">
        <v>0</v>
      </c>
      <c r="W116" s="168">
        <f t="shared" si="50"/>
        <v>0</v>
      </c>
      <c r="X116" s="32">
        <v>0</v>
      </c>
      <c r="Y116" s="164">
        <f t="shared" si="51"/>
        <v>0</v>
      </c>
    </row>
    <row r="117" spans="1:25" ht="12.75" hidden="1" outlineLevel="1">
      <c r="A117" s="2" t="s">
        <v>1891</v>
      </c>
      <c r="C117" s="2" t="s">
        <v>1892</v>
      </c>
      <c r="D117" s="34" t="s">
        <v>1893</v>
      </c>
      <c r="E117" s="2">
        <v>0</v>
      </c>
      <c r="F117" s="2">
        <v>0</v>
      </c>
      <c r="G117" s="165">
        <f t="shared" si="46"/>
        <v>0</v>
      </c>
      <c r="H117" s="165">
        <v>0</v>
      </c>
      <c r="I117" s="165">
        <v>0</v>
      </c>
      <c r="J117" s="165">
        <v>0</v>
      </c>
      <c r="K117" s="165">
        <v>0</v>
      </c>
      <c r="L117" s="165">
        <f t="shared" si="47"/>
        <v>0</v>
      </c>
      <c r="M117" s="165">
        <v>0</v>
      </c>
      <c r="N117" s="165">
        <v>0</v>
      </c>
      <c r="O117" s="165">
        <v>0</v>
      </c>
      <c r="P117" s="165">
        <f t="shared" si="48"/>
        <v>0</v>
      </c>
      <c r="Q117" s="165">
        <v>0</v>
      </c>
      <c r="R117" s="165">
        <v>0</v>
      </c>
      <c r="S117" s="165">
        <v>164921.15</v>
      </c>
      <c r="T117" s="165">
        <v>0</v>
      </c>
      <c r="U117" s="165">
        <f t="shared" si="49"/>
        <v>164921.15</v>
      </c>
      <c r="V117" s="165">
        <v>0</v>
      </c>
      <c r="W117" s="166">
        <f t="shared" si="50"/>
        <v>164921.15</v>
      </c>
      <c r="X117" s="2">
        <v>0</v>
      </c>
      <c r="Y117" s="167">
        <f t="shared" si="51"/>
        <v>164921.15</v>
      </c>
    </row>
    <row r="118" spans="1:25" ht="12.75" hidden="1" outlineLevel="1">
      <c r="A118" s="2" t="s">
        <v>1894</v>
      </c>
      <c r="C118" s="2" t="s">
        <v>1895</v>
      </c>
      <c r="D118" s="34" t="s">
        <v>1896</v>
      </c>
      <c r="E118" s="2">
        <v>0</v>
      </c>
      <c r="F118" s="2">
        <v>0</v>
      </c>
      <c r="G118" s="165">
        <f t="shared" si="46"/>
        <v>0</v>
      </c>
      <c r="H118" s="165">
        <v>0</v>
      </c>
      <c r="I118" s="165">
        <v>0</v>
      </c>
      <c r="J118" s="165">
        <v>0</v>
      </c>
      <c r="K118" s="165">
        <v>0</v>
      </c>
      <c r="L118" s="165">
        <f t="shared" si="47"/>
        <v>0</v>
      </c>
      <c r="M118" s="165">
        <v>0</v>
      </c>
      <c r="N118" s="165">
        <v>0</v>
      </c>
      <c r="O118" s="165">
        <v>0</v>
      </c>
      <c r="P118" s="165">
        <f t="shared" si="48"/>
        <v>0</v>
      </c>
      <c r="Q118" s="165">
        <v>0</v>
      </c>
      <c r="R118" s="165">
        <v>0</v>
      </c>
      <c r="S118" s="165">
        <v>-330144.37</v>
      </c>
      <c r="T118" s="165">
        <v>0</v>
      </c>
      <c r="U118" s="165">
        <f t="shared" si="49"/>
        <v>-330144.37</v>
      </c>
      <c r="V118" s="165">
        <v>0</v>
      </c>
      <c r="W118" s="166">
        <f t="shared" si="50"/>
        <v>-330144.37</v>
      </c>
      <c r="X118" s="2">
        <v>0</v>
      </c>
      <c r="Y118" s="167">
        <f t="shared" si="51"/>
        <v>-330144.37</v>
      </c>
    </row>
    <row r="119" spans="1:25" ht="12.75" hidden="1" outlineLevel="1">
      <c r="A119" s="2" t="s">
        <v>1897</v>
      </c>
      <c r="C119" s="2" t="s">
        <v>1898</v>
      </c>
      <c r="D119" s="34" t="s">
        <v>1899</v>
      </c>
      <c r="E119" s="2">
        <v>0</v>
      </c>
      <c r="F119" s="2">
        <v>0</v>
      </c>
      <c r="G119" s="165">
        <f t="shared" si="46"/>
        <v>0</v>
      </c>
      <c r="H119" s="165">
        <v>0</v>
      </c>
      <c r="I119" s="165">
        <v>0</v>
      </c>
      <c r="J119" s="165">
        <v>0</v>
      </c>
      <c r="K119" s="165">
        <v>0</v>
      </c>
      <c r="L119" s="165">
        <f t="shared" si="47"/>
        <v>0</v>
      </c>
      <c r="M119" s="165">
        <v>0</v>
      </c>
      <c r="N119" s="165">
        <v>0</v>
      </c>
      <c r="O119" s="165">
        <v>0</v>
      </c>
      <c r="P119" s="165">
        <f t="shared" si="48"/>
        <v>0</v>
      </c>
      <c r="Q119" s="165">
        <v>0</v>
      </c>
      <c r="R119" s="165">
        <v>0</v>
      </c>
      <c r="S119" s="165">
        <v>704640.13</v>
      </c>
      <c r="T119" s="165">
        <v>60712723.23</v>
      </c>
      <c r="U119" s="165">
        <f t="shared" si="49"/>
        <v>61417363.36</v>
      </c>
      <c r="V119" s="165">
        <v>0</v>
      </c>
      <c r="W119" s="166">
        <f t="shared" si="50"/>
        <v>61417363.36</v>
      </c>
      <c r="X119" s="2">
        <v>0</v>
      </c>
      <c r="Y119" s="167">
        <f t="shared" si="51"/>
        <v>61417363.36</v>
      </c>
    </row>
    <row r="120" spans="1:25" ht="12.75" customHeight="1" collapsed="1">
      <c r="A120" s="161" t="s">
        <v>1900</v>
      </c>
      <c r="B120" s="30"/>
      <c r="C120" s="161" t="s">
        <v>1901</v>
      </c>
      <c r="D120" s="31"/>
      <c r="E120" s="32">
        <v>0</v>
      </c>
      <c r="F120" s="32">
        <v>0</v>
      </c>
      <c r="G120" s="37">
        <f t="shared" si="46"/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f t="shared" si="47"/>
        <v>0</v>
      </c>
      <c r="M120" s="37">
        <v>0</v>
      </c>
      <c r="N120" s="37">
        <v>0</v>
      </c>
      <c r="O120" s="37">
        <v>0</v>
      </c>
      <c r="P120" s="37">
        <f t="shared" si="48"/>
        <v>0</v>
      </c>
      <c r="Q120" s="37">
        <v>0</v>
      </c>
      <c r="R120" s="37">
        <v>0</v>
      </c>
      <c r="S120" s="37">
        <v>539416.91</v>
      </c>
      <c r="T120" s="37">
        <v>60712723.23</v>
      </c>
      <c r="U120" s="37">
        <f t="shared" si="49"/>
        <v>61252140.13999999</v>
      </c>
      <c r="V120" s="37">
        <v>0</v>
      </c>
      <c r="W120" s="168">
        <f t="shared" si="50"/>
        <v>61252140.13999999</v>
      </c>
      <c r="X120" s="32">
        <v>0</v>
      </c>
      <c r="Y120" s="164">
        <f t="shared" si="51"/>
        <v>61252140.13999999</v>
      </c>
    </row>
    <row r="121" spans="1:25" ht="12.75" customHeight="1">
      <c r="A121" s="34"/>
      <c r="B121" s="30"/>
      <c r="C121" s="161"/>
      <c r="D121" s="31"/>
      <c r="E121" s="32"/>
      <c r="F121" s="3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168"/>
      <c r="X121" s="32"/>
      <c r="Y121" s="154"/>
    </row>
    <row r="122" spans="1:25" s="169" customFormat="1" ht="12.75" customHeight="1">
      <c r="A122" s="29"/>
      <c r="B122" s="23" t="s">
        <v>1525</v>
      </c>
      <c r="C122" s="160"/>
      <c r="D122" s="24"/>
      <c r="E122" s="27">
        <f aca="true" t="shared" si="52" ref="E122:Y122">E115+E116+E120</f>
        <v>0</v>
      </c>
      <c r="F122" s="27">
        <f t="shared" si="52"/>
        <v>0</v>
      </c>
      <c r="G122" s="40">
        <f t="shared" si="52"/>
        <v>0</v>
      </c>
      <c r="H122" s="40">
        <f t="shared" si="52"/>
        <v>0</v>
      </c>
      <c r="I122" s="40">
        <f t="shared" si="52"/>
        <v>0</v>
      </c>
      <c r="J122" s="40">
        <f t="shared" si="52"/>
        <v>0</v>
      </c>
      <c r="K122" s="40">
        <f t="shared" si="52"/>
        <v>0</v>
      </c>
      <c r="L122" s="40">
        <f t="shared" si="52"/>
        <v>0</v>
      </c>
      <c r="M122" s="40">
        <f t="shared" si="52"/>
        <v>0</v>
      </c>
      <c r="N122" s="40">
        <f t="shared" si="52"/>
        <v>0</v>
      </c>
      <c r="O122" s="40">
        <f t="shared" si="52"/>
        <v>0</v>
      </c>
      <c r="P122" s="40">
        <f t="shared" si="52"/>
        <v>0</v>
      </c>
      <c r="Q122" s="40">
        <f t="shared" si="52"/>
        <v>0</v>
      </c>
      <c r="R122" s="40">
        <f t="shared" si="52"/>
        <v>0</v>
      </c>
      <c r="S122" s="40">
        <f t="shared" si="52"/>
        <v>539416.91</v>
      </c>
      <c r="T122" s="40">
        <f t="shared" si="52"/>
        <v>60712723.23</v>
      </c>
      <c r="U122" s="40">
        <f t="shared" si="52"/>
        <v>61252140.13999999</v>
      </c>
      <c r="V122" s="40">
        <f t="shared" si="52"/>
        <v>0</v>
      </c>
      <c r="W122" s="170">
        <f t="shared" si="52"/>
        <v>61252140.13999999</v>
      </c>
      <c r="X122" s="27">
        <f t="shared" si="52"/>
        <v>0</v>
      </c>
      <c r="Y122" s="27">
        <f t="shared" si="52"/>
        <v>61252140.13999999</v>
      </c>
    </row>
    <row r="123" spans="1:25" ht="12.75" customHeight="1">
      <c r="A123" s="34"/>
      <c r="B123" s="30"/>
      <c r="C123" s="161"/>
      <c r="D123" s="31"/>
      <c r="E123" s="32"/>
      <c r="F123" s="32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168"/>
      <c r="X123" s="32"/>
      <c r="Y123" s="32"/>
    </row>
    <row r="124" spans="1:25" s="169" customFormat="1" ht="12.75" customHeight="1">
      <c r="A124" s="29"/>
      <c r="B124" s="23" t="s">
        <v>1902</v>
      </c>
      <c r="C124" s="160"/>
      <c r="D124" s="24"/>
      <c r="E124" s="27">
        <f aca="true" t="shared" si="53" ref="E124:Y124">E112+E122</f>
        <v>14981117.18</v>
      </c>
      <c r="F124" s="27">
        <f t="shared" si="53"/>
        <v>2352.38</v>
      </c>
      <c r="G124" s="40">
        <f t="shared" si="53"/>
        <v>14983469.56</v>
      </c>
      <c r="H124" s="40">
        <f t="shared" si="53"/>
        <v>732337.46</v>
      </c>
      <c r="I124" s="40">
        <f t="shared" si="53"/>
        <v>11234.91</v>
      </c>
      <c r="J124" s="40">
        <f t="shared" si="53"/>
        <v>0</v>
      </c>
      <c r="K124" s="40">
        <f t="shared" si="53"/>
        <v>0</v>
      </c>
      <c r="L124" s="40">
        <f t="shared" si="53"/>
        <v>11234.91</v>
      </c>
      <c r="M124" s="40">
        <f t="shared" si="53"/>
        <v>0</v>
      </c>
      <c r="N124" s="40">
        <f t="shared" si="53"/>
        <v>3378046.24</v>
      </c>
      <c r="O124" s="40">
        <f t="shared" si="53"/>
        <v>5455.48</v>
      </c>
      <c r="P124" s="40">
        <f t="shared" si="53"/>
        <v>3383501.72</v>
      </c>
      <c r="Q124" s="40">
        <f t="shared" si="53"/>
        <v>42263.8</v>
      </c>
      <c r="R124" s="40">
        <f t="shared" si="53"/>
        <v>0</v>
      </c>
      <c r="S124" s="40">
        <f t="shared" si="53"/>
        <v>539416.91</v>
      </c>
      <c r="T124" s="40">
        <f t="shared" si="53"/>
        <v>62049990.18</v>
      </c>
      <c r="U124" s="40">
        <f t="shared" si="53"/>
        <v>62631670.88999999</v>
      </c>
      <c r="V124" s="40">
        <f t="shared" si="53"/>
        <v>1816932.56</v>
      </c>
      <c r="W124" s="170">
        <f t="shared" si="53"/>
        <v>83559147.1</v>
      </c>
      <c r="X124" s="27">
        <f t="shared" si="53"/>
        <v>0</v>
      </c>
      <c r="Y124" s="27">
        <f t="shared" si="53"/>
        <v>83559147.1</v>
      </c>
    </row>
    <row r="125" spans="1:25" ht="12.75" customHeight="1">
      <c r="A125" s="34"/>
      <c r="B125" s="30"/>
      <c r="C125" s="161"/>
      <c r="D125" s="31"/>
      <c r="E125" s="32"/>
      <c r="F125" s="32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168"/>
      <c r="X125" s="32"/>
      <c r="Y125" s="154"/>
    </row>
    <row r="126" spans="1:25" ht="12.75" customHeight="1">
      <c r="A126" s="34"/>
      <c r="B126" s="23" t="s">
        <v>1527</v>
      </c>
      <c r="C126" s="160"/>
      <c r="D126" s="24"/>
      <c r="E126" s="32"/>
      <c r="F126" s="32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168"/>
      <c r="X126" s="32"/>
      <c r="Y126" s="154"/>
    </row>
    <row r="127" spans="1:25" ht="12.75" customHeight="1">
      <c r="A127" s="161"/>
      <c r="B127" s="30" t="s">
        <v>1903</v>
      </c>
      <c r="C127" s="161"/>
      <c r="D127" s="31"/>
      <c r="E127" s="32">
        <v>0</v>
      </c>
      <c r="F127" s="32">
        <v>0</v>
      </c>
      <c r="G127" s="37">
        <f>E127+F127</f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f>I127+J127+K127</f>
        <v>0</v>
      </c>
      <c r="M127" s="37">
        <v>0</v>
      </c>
      <c r="N127" s="37">
        <v>0</v>
      </c>
      <c r="O127" s="37">
        <v>0</v>
      </c>
      <c r="P127" s="37">
        <f>M127+N127+O127</f>
        <v>0</v>
      </c>
      <c r="Q127" s="37">
        <v>0</v>
      </c>
      <c r="R127" s="37">
        <v>0</v>
      </c>
      <c r="S127" s="37">
        <v>0</v>
      </c>
      <c r="T127" s="37">
        <f>T81-T124</f>
        <v>187509972.78</v>
      </c>
      <c r="U127" s="37">
        <f>Q127+R127+S127+T127</f>
        <v>187509972.78</v>
      </c>
      <c r="V127" s="37">
        <v>0</v>
      </c>
      <c r="W127" s="168">
        <f>G127+H127+L127+P127+U127+V127</f>
        <v>187509972.78</v>
      </c>
      <c r="X127" s="32">
        <v>0</v>
      </c>
      <c r="Y127" s="164">
        <f>W127+X127</f>
        <v>187509972.78</v>
      </c>
    </row>
    <row r="128" spans="1:25" ht="12.75" customHeight="1" hidden="1">
      <c r="A128" s="161"/>
      <c r="B128" s="30" t="s">
        <v>1904</v>
      </c>
      <c r="C128" s="161"/>
      <c r="D128" s="31"/>
      <c r="E128" s="32">
        <v>0</v>
      </c>
      <c r="F128" s="32">
        <v>0</v>
      </c>
      <c r="G128" s="37">
        <f>E128+F128</f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f>I128+J128+K128</f>
        <v>0</v>
      </c>
      <c r="M128" s="37">
        <v>0</v>
      </c>
      <c r="N128" s="37">
        <v>0</v>
      </c>
      <c r="O128" s="37"/>
      <c r="P128" s="37">
        <f>M128+N128+O128</f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f>Q128+R128+S128+T128</f>
        <v>0</v>
      </c>
      <c r="V128" s="37">
        <v>0</v>
      </c>
      <c r="W128" s="168">
        <f>G128+H128+L128+P128+U128+V128</f>
        <v>0</v>
      </c>
      <c r="X128" s="164">
        <f>X81-X124</f>
        <v>0</v>
      </c>
      <c r="Y128" s="164">
        <f>W128+X128</f>
        <v>0</v>
      </c>
    </row>
    <row r="129" spans="1:25" ht="12.75" customHeight="1">
      <c r="A129" s="161"/>
      <c r="B129" s="30" t="s">
        <v>1905</v>
      </c>
      <c r="C129" s="161"/>
      <c r="D129" s="31"/>
      <c r="E129" s="32"/>
      <c r="F129" s="32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168"/>
      <c r="X129" s="32"/>
      <c r="Y129" s="154"/>
    </row>
    <row r="130" spans="1:25" ht="12.75" customHeight="1">
      <c r="A130" s="161"/>
      <c r="B130" s="30"/>
      <c r="C130" s="161" t="s">
        <v>1906</v>
      </c>
      <c r="D130" s="31"/>
      <c r="E130" s="32">
        <v>0</v>
      </c>
      <c r="F130" s="32">
        <v>0</v>
      </c>
      <c r="G130" s="37">
        <f>E130+F130</f>
        <v>0</v>
      </c>
      <c r="H130" s="37">
        <v>0</v>
      </c>
      <c r="I130" s="37">
        <v>0</v>
      </c>
      <c r="J130" s="37">
        <f>J81-J124</f>
        <v>0</v>
      </c>
      <c r="K130" s="37">
        <v>0</v>
      </c>
      <c r="L130" s="37">
        <f>I130+J130+K130</f>
        <v>0</v>
      </c>
      <c r="M130" s="37">
        <v>0</v>
      </c>
      <c r="N130" s="37">
        <f>N81-N124</f>
        <v>32107835.950000003</v>
      </c>
      <c r="O130" s="37">
        <v>0</v>
      </c>
      <c r="P130" s="37">
        <f>M130+N130+O130</f>
        <v>32107835.950000003</v>
      </c>
      <c r="Q130" s="37">
        <v>0</v>
      </c>
      <c r="R130" s="37">
        <v>0</v>
      </c>
      <c r="S130" s="37">
        <v>0</v>
      </c>
      <c r="T130" s="37">
        <v>0</v>
      </c>
      <c r="U130" s="37">
        <f>Q130+R130+S130+T130</f>
        <v>0</v>
      </c>
      <c r="V130" s="37">
        <v>0</v>
      </c>
      <c r="W130" s="168">
        <f>G130+H130+L130+P130+U130+V130</f>
        <v>32107835.950000003</v>
      </c>
      <c r="X130" s="32">
        <v>0</v>
      </c>
      <c r="Y130" s="164">
        <f>W130+X130</f>
        <v>32107835.950000003</v>
      </c>
    </row>
    <row r="131" spans="1:25" ht="12.75" customHeight="1">
      <c r="A131" s="161"/>
      <c r="B131" s="30"/>
      <c r="C131" s="161" t="s">
        <v>1907</v>
      </c>
      <c r="D131" s="31"/>
      <c r="E131" s="32">
        <v>0</v>
      </c>
      <c r="F131" s="32">
        <v>0</v>
      </c>
      <c r="G131" s="37">
        <f>E131+F131</f>
        <v>0</v>
      </c>
      <c r="H131" s="37">
        <f>H81-H124</f>
        <v>8421542.11</v>
      </c>
      <c r="I131" s="37">
        <v>0</v>
      </c>
      <c r="J131" s="37">
        <v>0</v>
      </c>
      <c r="K131" s="37">
        <f>K81-K124</f>
        <v>3371986.09</v>
      </c>
      <c r="L131" s="37">
        <f>I131+J131+K131</f>
        <v>3371986.09</v>
      </c>
      <c r="M131" s="37">
        <v>0</v>
      </c>
      <c r="N131" s="37">
        <v>0</v>
      </c>
      <c r="O131" s="37">
        <f>O81-O124</f>
        <v>7379046.49</v>
      </c>
      <c r="P131" s="37">
        <f>M131+N131+O131</f>
        <v>7379046.49</v>
      </c>
      <c r="Q131" s="37">
        <v>0</v>
      </c>
      <c r="R131" s="37">
        <f>R81-R124</f>
        <v>78453.19</v>
      </c>
      <c r="S131" s="37">
        <f>S81-S124</f>
        <v>187651.42000000004</v>
      </c>
      <c r="T131" s="37">
        <v>0</v>
      </c>
      <c r="U131" s="37">
        <f>Q131+R131+S131+T131</f>
        <v>266104.61000000004</v>
      </c>
      <c r="V131" s="37">
        <v>0</v>
      </c>
      <c r="W131" s="168">
        <f>G131+H131+L131+P131+U131+V131</f>
        <v>19438679.299999997</v>
      </c>
      <c r="X131" s="32">
        <v>0</v>
      </c>
      <c r="Y131" s="164">
        <f>W131+X131</f>
        <v>19438679.299999997</v>
      </c>
    </row>
    <row r="132" spans="1:25" ht="12.75" customHeight="1">
      <c r="A132" s="161"/>
      <c r="B132" s="30" t="s">
        <v>1908</v>
      </c>
      <c r="C132" s="161"/>
      <c r="D132" s="31"/>
      <c r="E132" s="32">
        <f>E81-E124</f>
        <v>17756163.68</v>
      </c>
      <c r="F132" s="32">
        <f>F81-F124</f>
        <v>-1.000444171950221E-11</v>
      </c>
      <c r="G132" s="37">
        <f>E132+F132</f>
        <v>17756163.68</v>
      </c>
      <c r="H132" s="37">
        <v>0</v>
      </c>
      <c r="I132" s="37">
        <f>I81-I124</f>
        <v>116043.98000000001</v>
      </c>
      <c r="J132" s="37">
        <v>0</v>
      </c>
      <c r="K132" s="37">
        <v>0</v>
      </c>
      <c r="L132" s="37">
        <f>I132+J132+K132</f>
        <v>116043.98000000001</v>
      </c>
      <c r="M132" s="37">
        <f>M81-M124</f>
        <v>0</v>
      </c>
      <c r="N132" s="37">
        <v>0</v>
      </c>
      <c r="O132" s="37">
        <v>0</v>
      </c>
      <c r="P132" s="37">
        <f>M132+N132+O132</f>
        <v>0</v>
      </c>
      <c r="Q132" s="37">
        <f>Q81-Q124</f>
        <v>7554221.1</v>
      </c>
      <c r="R132" s="37">
        <v>0</v>
      </c>
      <c r="S132" s="37">
        <v>0</v>
      </c>
      <c r="T132" s="37">
        <v>0</v>
      </c>
      <c r="U132" s="37">
        <f>Q132+R132+S132+T132</f>
        <v>7554221.1</v>
      </c>
      <c r="V132" s="37">
        <f>V81-V124</f>
        <v>0</v>
      </c>
      <c r="W132" s="168">
        <f>G132+H132+L132+P132+U132+V132</f>
        <v>25426428.759999998</v>
      </c>
      <c r="X132" s="32">
        <v>0</v>
      </c>
      <c r="Y132" s="164">
        <f>W132+X132</f>
        <v>25426428.759999998</v>
      </c>
    </row>
    <row r="133" spans="1:25" ht="12.75" customHeight="1">
      <c r="A133" s="29"/>
      <c r="B133" s="23"/>
      <c r="C133" s="160"/>
      <c r="D133" s="24"/>
      <c r="E133" s="27"/>
      <c r="F133" s="27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170"/>
      <c r="X133" s="27"/>
      <c r="Y133" s="154"/>
    </row>
    <row r="134" spans="1:25" s="169" customFormat="1" ht="12.75" customHeight="1">
      <c r="A134" s="29"/>
      <c r="B134" s="23" t="s">
        <v>1909</v>
      </c>
      <c r="C134" s="160"/>
      <c r="D134" s="24"/>
      <c r="E134" s="27">
        <f aca="true" t="shared" si="54" ref="E134:Y134">+E127+E128+E130+E131+E132</f>
        <v>17756163.68</v>
      </c>
      <c r="F134" s="27">
        <f t="shared" si="54"/>
        <v>-1.000444171950221E-11</v>
      </c>
      <c r="G134" s="40">
        <f t="shared" si="54"/>
        <v>17756163.68</v>
      </c>
      <c r="H134" s="40">
        <f t="shared" si="54"/>
        <v>8421542.11</v>
      </c>
      <c r="I134" s="40">
        <f t="shared" si="54"/>
        <v>116043.98000000001</v>
      </c>
      <c r="J134" s="40">
        <f t="shared" si="54"/>
        <v>0</v>
      </c>
      <c r="K134" s="40">
        <f t="shared" si="54"/>
        <v>3371986.09</v>
      </c>
      <c r="L134" s="40">
        <f t="shared" si="54"/>
        <v>3488030.07</v>
      </c>
      <c r="M134" s="40">
        <f t="shared" si="54"/>
        <v>0</v>
      </c>
      <c r="N134" s="40">
        <f t="shared" si="54"/>
        <v>32107835.950000003</v>
      </c>
      <c r="O134" s="40">
        <f t="shared" si="54"/>
        <v>7379046.49</v>
      </c>
      <c r="P134" s="40">
        <f t="shared" si="54"/>
        <v>39486882.440000005</v>
      </c>
      <c r="Q134" s="40">
        <f t="shared" si="54"/>
        <v>7554221.1</v>
      </c>
      <c r="R134" s="40">
        <f t="shared" si="54"/>
        <v>78453.19</v>
      </c>
      <c r="S134" s="40">
        <f t="shared" si="54"/>
        <v>187651.42000000004</v>
      </c>
      <c r="T134" s="40">
        <f t="shared" si="54"/>
        <v>187509972.78</v>
      </c>
      <c r="U134" s="40">
        <f t="shared" si="54"/>
        <v>195330298.49</v>
      </c>
      <c r="V134" s="40">
        <f t="shared" si="54"/>
        <v>0</v>
      </c>
      <c r="W134" s="170">
        <f t="shared" si="54"/>
        <v>264482916.79000002</v>
      </c>
      <c r="X134" s="27">
        <f t="shared" si="54"/>
        <v>0</v>
      </c>
      <c r="Y134" s="27">
        <f t="shared" si="54"/>
        <v>264482916.79000002</v>
      </c>
    </row>
    <row r="135" spans="1:25" ht="12.75" customHeight="1">
      <c r="A135" s="34"/>
      <c r="B135" s="30"/>
      <c r="C135" s="161"/>
      <c r="D135" s="31"/>
      <c r="E135" s="32"/>
      <c r="F135" s="32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168"/>
      <c r="X135" s="32"/>
      <c r="Y135" s="32"/>
    </row>
    <row r="136" spans="1:25" s="169" customFormat="1" ht="12.75" customHeight="1">
      <c r="A136" s="29"/>
      <c r="B136" s="23" t="s">
        <v>1534</v>
      </c>
      <c r="C136" s="160"/>
      <c r="D136" s="24"/>
      <c r="E136" s="27">
        <f aca="true" t="shared" si="55" ref="E136:Y136">+E124+E134</f>
        <v>32737280.86</v>
      </c>
      <c r="F136" s="27">
        <f t="shared" si="55"/>
        <v>2352.37999999999</v>
      </c>
      <c r="G136" s="42">
        <f t="shared" si="55"/>
        <v>32739633.240000002</v>
      </c>
      <c r="H136" s="42">
        <f t="shared" si="55"/>
        <v>9153879.57</v>
      </c>
      <c r="I136" s="42">
        <f t="shared" si="55"/>
        <v>127278.89000000001</v>
      </c>
      <c r="J136" s="42">
        <f t="shared" si="55"/>
        <v>0</v>
      </c>
      <c r="K136" s="42">
        <f t="shared" si="55"/>
        <v>3371986.09</v>
      </c>
      <c r="L136" s="42">
        <f t="shared" si="55"/>
        <v>3499264.98</v>
      </c>
      <c r="M136" s="42">
        <f t="shared" si="55"/>
        <v>0</v>
      </c>
      <c r="N136" s="42">
        <f t="shared" si="55"/>
        <v>35485882.190000005</v>
      </c>
      <c r="O136" s="42">
        <f t="shared" si="55"/>
        <v>7384501.970000001</v>
      </c>
      <c r="P136" s="42">
        <f t="shared" si="55"/>
        <v>42870384.160000004</v>
      </c>
      <c r="Q136" s="42">
        <f t="shared" si="55"/>
        <v>7596484.899999999</v>
      </c>
      <c r="R136" s="42">
        <f t="shared" si="55"/>
        <v>78453.19</v>
      </c>
      <c r="S136" s="42">
        <f t="shared" si="55"/>
        <v>727068.3300000001</v>
      </c>
      <c r="T136" s="42">
        <f t="shared" si="55"/>
        <v>249559962.96</v>
      </c>
      <c r="U136" s="42">
        <f t="shared" si="55"/>
        <v>257961969.38</v>
      </c>
      <c r="V136" s="42">
        <f t="shared" si="55"/>
        <v>1816932.56</v>
      </c>
      <c r="W136" s="171">
        <f t="shared" si="55"/>
        <v>348042063.89</v>
      </c>
      <c r="X136" s="27">
        <f t="shared" si="55"/>
        <v>0</v>
      </c>
      <c r="Y136" s="27">
        <f t="shared" si="55"/>
        <v>348042063.89</v>
      </c>
    </row>
  </sheetData>
  <printOptions horizontalCentered="1"/>
  <pageMargins left="0.5" right="0.5" top="0.75" bottom="0.5" header="0.25" footer="0.5"/>
  <pageSetup fitToHeight="0" horizontalDpi="600" verticalDpi="600" orientation="landscape" scale="70" r:id="rId1"/>
  <rowBreaks count="1" manualBreakCount="1">
    <brk id="113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749"/>
  <sheetViews>
    <sheetView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10" sqref="B10"/>
    </sheetView>
  </sheetViews>
  <sheetFormatPr defaultColWidth="9.140625" defaultRowHeight="12.75" outlineLevelRow="1" outlineLevelCol="1"/>
  <cols>
    <col min="1" max="1" width="1.28515625" style="172" hidden="1" customWidth="1"/>
    <col min="2" max="2" width="3.421875" style="173" customWidth="1"/>
    <col min="3" max="3" width="49.57421875" style="173" customWidth="1"/>
    <col min="4" max="4" width="8.421875" style="173" customWidth="1"/>
    <col min="5" max="6" width="19.57421875" style="172" hidden="1" customWidth="1" outlineLevel="1"/>
    <col min="7" max="7" width="17.8515625" style="173" customWidth="1" collapsed="1"/>
    <col min="8" max="8" width="17.8515625" style="172" customWidth="1"/>
    <col min="9" max="11" width="19.57421875" style="172" hidden="1" customWidth="1" outlineLevel="1"/>
    <col min="12" max="12" width="17.8515625" style="172" customWidth="1" collapsed="1"/>
    <col min="13" max="15" width="19.57421875" style="172" hidden="1" customWidth="1" outlineLevel="1"/>
    <col min="16" max="16" width="17.8515625" style="172" customWidth="1" collapsed="1"/>
    <col min="17" max="20" width="19.57421875" style="172" hidden="1" customWidth="1" outlineLevel="1"/>
    <col min="21" max="21" width="17.8515625" style="173" customWidth="1" collapsed="1"/>
    <col min="22" max="22" width="17.8515625" style="173" customWidth="1"/>
    <col min="23" max="24" width="17.7109375" style="172" hidden="1" customWidth="1"/>
    <col min="25" max="25" width="16.57421875" style="173" hidden="1" customWidth="1"/>
    <col min="26" max="26" width="17.57421875" style="172" hidden="1" customWidth="1"/>
    <col min="27" max="27" width="0" style="172" hidden="1" customWidth="1"/>
    <col min="28" max="31" width="8.00390625" style="174" hidden="1" customWidth="1"/>
    <col min="32" max="16384" width="8.00390625" style="174" customWidth="1"/>
  </cols>
  <sheetData>
    <row r="1" spans="1:26" ht="9" customHeight="1" hidden="1">
      <c r="A1" s="172" t="s">
        <v>1910</v>
      </c>
      <c r="B1" s="173" t="s">
        <v>1486</v>
      </c>
      <c r="C1" s="173" t="s">
        <v>1487</v>
      </c>
      <c r="D1" s="173" t="s">
        <v>1639</v>
      </c>
      <c r="E1" s="172" t="s">
        <v>1641</v>
      </c>
      <c r="F1" s="172" t="s">
        <v>1640</v>
      </c>
      <c r="G1" s="173" t="s">
        <v>1488</v>
      </c>
      <c r="H1" s="172" t="s">
        <v>1642</v>
      </c>
      <c r="I1" s="172" t="s">
        <v>1643</v>
      </c>
      <c r="J1" s="172" t="s">
        <v>1644</v>
      </c>
      <c r="K1" s="172" t="s">
        <v>1645</v>
      </c>
      <c r="L1" s="172" t="s">
        <v>1488</v>
      </c>
      <c r="M1" s="172" t="s">
        <v>1646</v>
      </c>
      <c r="N1" s="172" t="s">
        <v>1647</v>
      </c>
      <c r="O1" s="172" t="s">
        <v>1648</v>
      </c>
      <c r="P1" s="172" t="s">
        <v>1488</v>
      </c>
      <c r="Q1" s="173" t="s">
        <v>1911</v>
      </c>
      <c r="R1" s="173" t="s">
        <v>1650</v>
      </c>
      <c r="S1" s="173" t="s">
        <v>1651</v>
      </c>
      <c r="T1" s="173" t="s">
        <v>1912</v>
      </c>
      <c r="U1" s="173" t="s">
        <v>1488</v>
      </c>
      <c r="V1" s="173" t="s">
        <v>1488</v>
      </c>
      <c r="W1" s="172" t="s">
        <v>1654</v>
      </c>
      <c r="X1" s="172" t="s">
        <v>1488</v>
      </c>
      <c r="Y1" s="173" t="s">
        <v>1653</v>
      </c>
      <c r="Z1" s="172" t="s">
        <v>1488</v>
      </c>
    </row>
    <row r="2" spans="1:64" s="179" customFormat="1" ht="15.75" customHeight="1">
      <c r="A2" s="175"/>
      <c r="B2" s="5" t="str">
        <f>"University of Missouri - "&amp;RBN</f>
        <v>University of Missouri - St. Louis</v>
      </c>
      <c r="C2" s="176"/>
      <c r="D2" s="176"/>
      <c r="E2" s="177"/>
      <c r="F2" s="177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8"/>
      <c r="W2" s="176"/>
      <c r="X2" s="176"/>
      <c r="Y2" s="176"/>
      <c r="Z2" s="178"/>
      <c r="AA2" s="175"/>
      <c r="AE2" s="179" t="s">
        <v>1657</v>
      </c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692"/>
      <c r="AZ2" s="692"/>
      <c r="BA2" s="692"/>
      <c r="BB2" s="692"/>
      <c r="BC2" s="692"/>
      <c r="BD2" s="692"/>
      <c r="BE2" s="692"/>
      <c r="BF2" s="692"/>
      <c r="BG2" s="692"/>
      <c r="BH2" s="692"/>
      <c r="BI2" s="692"/>
      <c r="BJ2" s="692"/>
      <c r="BK2" s="692"/>
      <c r="BL2" s="692"/>
    </row>
    <row r="3" spans="1:64" s="184" customFormat="1" ht="15.75" customHeight="1">
      <c r="A3" s="180"/>
      <c r="B3" s="181" t="s">
        <v>1913</v>
      </c>
      <c r="C3" s="51"/>
      <c r="D3" s="51"/>
      <c r="E3" s="182"/>
      <c r="F3" s="182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83"/>
      <c r="W3" s="51"/>
      <c r="X3" s="51"/>
      <c r="Y3" s="51"/>
      <c r="Z3" s="183"/>
      <c r="AA3" s="180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</row>
    <row r="4" spans="1:64" s="184" customFormat="1" ht="15.75" customHeight="1">
      <c r="A4" s="180"/>
      <c r="B4" s="85" t="str">
        <f>"For the Year Ending "&amp;TEXT(AA4,"MMMM DD, YYY")</f>
        <v>For the Year Ending June 30, 2004</v>
      </c>
      <c r="C4" s="51"/>
      <c r="D4" s="51"/>
      <c r="E4" s="182"/>
      <c r="F4" s="18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83"/>
      <c r="W4" s="51"/>
      <c r="X4" s="51"/>
      <c r="Y4" s="51"/>
      <c r="Z4" s="183"/>
      <c r="AA4" s="180" t="s">
        <v>1656</v>
      </c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693"/>
      <c r="AV4" s="693"/>
      <c r="AW4" s="693"/>
      <c r="AX4" s="693"/>
      <c r="AY4" s="693"/>
      <c r="AZ4" s="693"/>
      <c r="BA4" s="693"/>
      <c r="BB4" s="693"/>
      <c r="BC4" s="693"/>
      <c r="BD4" s="693"/>
      <c r="BE4" s="693"/>
      <c r="BF4" s="693"/>
      <c r="BG4" s="693"/>
      <c r="BH4" s="693"/>
      <c r="BI4" s="693"/>
      <c r="BJ4" s="693"/>
      <c r="BK4" s="693"/>
      <c r="BL4" s="693"/>
    </row>
    <row r="5" spans="1:64" s="184" customFormat="1" ht="12.75" customHeight="1">
      <c r="A5" s="180"/>
      <c r="B5" s="185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86"/>
      <c r="W5" s="51"/>
      <c r="X5" s="51"/>
      <c r="Y5" s="51"/>
      <c r="Z5" s="51"/>
      <c r="AA5" s="180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  <c r="BH5" s="693"/>
      <c r="BI5" s="693"/>
      <c r="BJ5" s="693"/>
      <c r="BK5" s="693"/>
      <c r="BL5" s="693"/>
    </row>
    <row r="6" spans="2:26" ht="12.75">
      <c r="B6" s="187"/>
      <c r="C6" s="188"/>
      <c r="D6" s="189"/>
      <c r="E6" s="190"/>
      <c r="F6" s="190"/>
      <c r="G6" s="191"/>
      <c r="H6" s="192"/>
      <c r="I6" s="143"/>
      <c r="J6" s="143"/>
      <c r="K6" s="143"/>
      <c r="L6" s="144"/>
      <c r="M6" s="143" t="s">
        <v>1532</v>
      </c>
      <c r="N6" s="143" t="s">
        <v>1658</v>
      </c>
      <c r="O6" s="143" t="s">
        <v>1659</v>
      </c>
      <c r="P6" s="144"/>
      <c r="Q6" s="193" t="s">
        <v>1660</v>
      </c>
      <c r="R6" s="193"/>
      <c r="S6" s="193"/>
      <c r="T6" s="193"/>
      <c r="U6" s="194"/>
      <c r="V6" s="194" t="s">
        <v>1914</v>
      </c>
      <c r="W6" s="195"/>
      <c r="X6" s="144"/>
      <c r="Y6" s="194"/>
      <c r="Z6" s="195"/>
    </row>
    <row r="7" spans="2:26" ht="12.75">
      <c r="B7" s="196"/>
      <c r="C7" s="197"/>
      <c r="D7" s="198"/>
      <c r="E7" s="190"/>
      <c r="F7" s="190"/>
      <c r="G7" s="196"/>
      <c r="H7" s="199"/>
      <c r="I7" s="143" t="s">
        <v>1532</v>
      </c>
      <c r="J7" s="143" t="s">
        <v>1658</v>
      </c>
      <c r="K7" s="143" t="s">
        <v>1659</v>
      </c>
      <c r="L7" s="151"/>
      <c r="M7" s="143" t="s">
        <v>1662</v>
      </c>
      <c r="N7" s="143" t="s">
        <v>1662</v>
      </c>
      <c r="O7" s="143" t="s">
        <v>1662</v>
      </c>
      <c r="P7" s="151" t="s">
        <v>1662</v>
      </c>
      <c r="Q7" s="143" t="s">
        <v>1532</v>
      </c>
      <c r="R7" s="143" t="s">
        <v>1663</v>
      </c>
      <c r="S7" s="193"/>
      <c r="T7" s="193"/>
      <c r="U7" s="151"/>
      <c r="V7" s="151" t="s">
        <v>1672</v>
      </c>
      <c r="W7" s="200"/>
      <c r="X7" s="151" t="s">
        <v>1914</v>
      </c>
      <c r="Y7" s="201"/>
      <c r="Z7" s="200"/>
    </row>
    <row r="8" spans="2:26" ht="12.75">
      <c r="B8" s="202"/>
      <c r="C8" s="63"/>
      <c r="D8" s="203"/>
      <c r="E8" s="193"/>
      <c r="F8" s="193"/>
      <c r="G8" s="201" t="s">
        <v>1665</v>
      </c>
      <c r="H8" s="201"/>
      <c r="I8" s="143" t="s">
        <v>1666</v>
      </c>
      <c r="J8" s="143" t="s">
        <v>1666</v>
      </c>
      <c r="K8" s="143" t="s">
        <v>1666</v>
      </c>
      <c r="L8" s="151" t="s">
        <v>1666</v>
      </c>
      <c r="M8" s="143" t="s">
        <v>1667</v>
      </c>
      <c r="N8" s="143" t="s">
        <v>1667</v>
      </c>
      <c r="O8" s="143" t="s">
        <v>1667</v>
      </c>
      <c r="P8" s="151" t="s">
        <v>1667</v>
      </c>
      <c r="Q8" s="143" t="s">
        <v>1668</v>
      </c>
      <c r="R8" s="143" t="s">
        <v>1668</v>
      </c>
      <c r="S8" s="143" t="s">
        <v>1669</v>
      </c>
      <c r="T8" s="143" t="s">
        <v>1670</v>
      </c>
      <c r="U8" s="151" t="s">
        <v>1915</v>
      </c>
      <c r="V8" s="151" t="s">
        <v>1916</v>
      </c>
      <c r="W8" s="151" t="s">
        <v>1673</v>
      </c>
      <c r="X8" s="151" t="s">
        <v>1672</v>
      </c>
      <c r="Y8" s="151"/>
      <c r="Z8" s="151" t="s">
        <v>1661</v>
      </c>
    </row>
    <row r="9" spans="2:26" ht="12.75">
      <c r="B9" s="204"/>
      <c r="C9" s="205"/>
      <c r="D9" s="206"/>
      <c r="E9" s="143" t="s">
        <v>1675</v>
      </c>
      <c r="F9" s="143" t="s">
        <v>1532</v>
      </c>
      <c r="G9" s="143" t="s">
        <v>1532</v>
      </c>
      <c r="H9" s="143" t="s">
        <v>1658</v>
      </c>
      <c r="I9" s="143" t="s">
        <v>1664</v>
      </c>
      <c r="J9" s="143" t="s">
        <v>1664</v>
      </c>
      <c r="K9" s="143" t="s">
        <v>1664</v>
      </c>
      <c r="L9" s="159" t="s">
        <v>1664</v>
      </c>
      <c r="M9" s="143" t="s">
        <v>1664</v>
      </c>
      <c r="N9" s="143" t="s">
        <v>1664</v>
      </c>
      <c r="O9" s="143" t="s">
        <v>1664</v>
      </c>
      <c r="P9" s="159" t="s">
        <v>1664</v>
      </c>
      <c r="Q9" s="143" t="s">
        <v>1676</v>
      </c>
      <c r="R9" s="143" t="s">
        <v>1676</v>
      </c>
      <c r="S9" s="143" t="s">
        <v>1673</v>
      </c>
      <c r="T9" s="143" t="s">
        <v>1677</v>
      </c>
      <c r="U9" s="159" t="s">
        <v>1664</v>
      </c>
      <c r="V9" s="159" t="s">
        <v>1673</v>
      </c>
      <c r="W9" s="159" t="s">
        <v>1664</v>
      </c>
      <c r="X9" s="159" t="s">
        <v>1917</v>
      </c>
      <c r="Y9" s="159" t="s">
        <v>1678</v>
      </c>
      <c r="Z9" s="159" t="s">
        <v>1664</v>
      </c>
    </row>
    <row r="10" spans="2:26" ht="12.75">
      <c r="B10" s="207"/>
      <c r="C10" s="208"/>
      <c r="D10" s="209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210"/>
    </row>
    <row r="11" spans="1:27" ht="15">
      <c r="A11" s="211"/>
      <c r="B11" s="64" t="s">
        <v>1542</v>
      </c>
      <c r="C11" s="212"/>
      <c r="D11" s="65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211"/>
    </row>
    <row r="12" spans="1:26" ht="12.75" hidden="1" outlineLevel="1">
      <c r="A12" s="172" t="s">
        <v>1918</v>
      </c>
      <c r="C12" s="173" t="s">
        <v>1919</v>
      </c>
      <c r="D12" s="173" t="s">
        <v>1920</v>
      </c>
      <c r="E12" s="172">
        <v>0</v>
      </c>
      <c r="F12" s="172">
        <v>0</v>
      </c>
      <c r="G12" s="173">
        <f aca="true" t="shared" si="0" ref="G12:G26">E12+F12</f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f>I12+J12+K12</f>
        <v>0</v>
      </c>
      <c r="M12" s="172">
        <v>0</v>
      </c>
      <c r="N12" s="172">
        <v>0</v>
      </c>
      <c r="O12" s="172">
        <v>0</v>
      </c>
      <c r="P12" s="172">
        <f aca="true" t="shared" si="1" ref="P12:P26">M12+N12+O12</f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f aca="true" t="shared" si="2" ref="U12:U26">Q12+R12+S12+T12</f>
        <v>0</v>
      </c>
      <c r="V12" s="173">
        <f aca="true" t="shared" si="3" ref="V12:V26">G12+H12+L12+P12+U12</f>
        <v>0</v>
      </c>
      <c r="W12" s="172">
        <v>0</v>
      </c>
      <c r="X12" s="172">
        <f aca="true" t="shared" si="4" ref="X12:X26">V12+W12</f>
        <v>0</v>
      </c>
      <c r="Y12" s="173">
        <v>-70</v>
      </c>
      <c r="Z12" s="172">
        <f aca="true" t="shared" si="5" ref="Z12:Z26">X12+Y12</f>
        <v>-70</v>
      </c>
    </row>
    <row r="13" spans="1:26" ht="12.75" hidden="1" outlineLevel="1">
      <c r="A13" s="172" t="s">
        <v>1921</v>
      </c>
      <c r="C13" s="173" t="s">
        <v>1922</v>
      </c>
      <c r="D13" s="173" t="s">
        <v>1923</v>
      </c>
      <c r="E13" s="172">
        <v>0</v>
      </c>
      <c r="F13" s="172">
        <v>0</v>
      </c>
      <c r="G13" s="173">
        <f t="shared" si="0"/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f>I13+J13+K13</f>
        <v>0</v>
      </c>
      <c r="M13" s="172">
        <v>0</v>
      </c>
      <c r="N13" s="172">
        <v>0</v>
      </c>
      <c r="O13" s="172">
        <v>0</v>
      </c>
      <c r="P13" s="172">
        <f t="shared" si="1"/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f t="shared" si="2"/>
        <v>0</v>
      </c>
      <c r="V13" s="173">
        <f t="shared" si="3"/>
        <v>0</v>
      </c>
      <c r="W13" s="172">
        <v>0</v>
      </c>
      <c r="X13" s="172">
        <f t="shared" si="4"/>
        <v>0</v>
      </c>
      <c r="Y13" s="173">
        <v>1790</v>
      </c>
      <c r="Z13" s="172">
        <f t="shared" si="5"/>
        <v>1790</v>
      </c>
    </row>
    <row r="14" spans="1:27" ht="12" customHeight="1" collapsed="1">
      <c r="A14" s="213" t="s">
        <v>1924</v>
      </c>
      <c r="B14" s="214"/>
      <c r="C14" s="213" t="s">
        <v>1925</v>
      </c>
      <c r="D14" s="215"/>
      <c r="E14" s="190">
        <v>0</v>
      </c>
      <c r="F14" s="190">
        <v>71627808.41</v>
      </c>
      <c r="G14" s="216">
        <f t="shared" si="0"/>
        <v>71627808.41</v>
      </c>
      <c r="H14" s="216">
        <v>0</v>
      </c>
      <c r="I14" s="216">
        <v>0</v>
      </c>
      <c r="J14" s="216">
        <v>0</v>
      </c>
      <c r="K14" s="216">
        <v>0</v>
      </c>
      <c r="L14" s="216">
        <f>I14+J14+K14</f>
        <v>0</v>
      </c>
      <c r="M14" s="216">
        <v>0</v>
      </c>
      <c r="N14" s="216">
        <v>0</v>
      </c>
      <c r="O14" s="216">
        <v>0</v>
      </c>
      <c r="P14" s="216">
        <f t="shared" si="1"/>
        <v>0</v>
      </c>
      <c r="Q14" s="216">
        <v>0</v>
      </c>
      <c r="R14" s="216">
        <v>0</v>
      </c>
      <c r="S14" s="216">
        <v>0</v>
      </c>
      <c r="T14" s="216">
        <v>0</v>
      </c>
      <c r="U14" s="216">
        <f t="shared" si="2"/>
        <v>0</v>
      </c>
      <c r="V14" s="216">
        <f t="shared" si="3"/>
        <v>71627808.41</v>
      </c>
      <c r="W14" s="217">
        <v>0</v>
      </c>
      <c r="X14" s="217">
        <f t="shared" si="4"/>
        <v>71627808.41</v>
      </c>
      <c r="Y14" s="217">
        <v>1720</v>
      </c>
      <c r="Z14" s="217">
        <f t="shared" si="5"/>
        <v>71629528.41</v>
      </c>
      <c r="AA14" s="213"/>
    </row>
    <row r="15" spans="1:26" ht="12.75" hidden="1" outlineLevel="1">
      <c r="A15" s="172" t="s">
        <v>1926</v>
      </c>
      <c r="C15" s="173" t="s">
        <v>1927</v>
      </c>
      <c r="D15" s="173" t="s">
        <v>1928</v>
      </c>
      <c r="E15" s="172">
        <v>0</v>
      </c>
      <c r="F15" s="172">
        <v>0</v>
      </c>
      <c r="G15" s="173">
        <f t="shared" si="0"/>
        <v>0</v>
      </c>
      <c r="H15" s="172">
        <v>151549</v>
      </c>
      <c r="I15" s="172">
        <v>0</v>
      </c>
      <c r="J15" s="172">
        <v>0</v>
      </c>
      <c r="K15" s="172">
        <v>0</v>
      </c>
      <c r="L15" s="172">
        <f aca="true" t="shared" si="6" ref="L15:L26">J15+I15+K15</f>
        <v>0</v>
      </c>
      <c r="M15" s="172">
        <v>0</v>
      </c>
      <c r="N15" s="172">
        <v>0</v>
      </c>
      <c r="O15" s="172">
        <v>0</v>
      </c>
      <c r="P15" s="172">
        <f t="shared" si="1"/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f t="shared" si="2"/>
        <v>0</v>
      </c>
      <c r="V15" s="173">
        <f t="shared" si="3"/>
        <v>151549</v>
      </c>
      <c r="W15" s="172">
        <v>0</v>
      </c>
      <c r="X15" s="172">
        <f t="shared" si="4"/>
        <v>151549</v>
      </c>
      <c r="Y15" s="173">
        <v>0</v>
      </c>
      <c r="Z15" s="172">
        <f t="shared" si="5"/>
        <v>151549</v>
      </c>
    </row>
    <row r="16" spans="1:26" ht="12.75" hidden="1" outlineLevel="1">
      <c r="A16" s="172" t="s">
        <v>1929</v>
      </c>
      <c r="C16" s="173" t="s">
        <v>1930</v>
      </c>
      <c r="D16" s="173" t="s">
        <v>1931</v>
      </c>
      <c r="E16" s="172">
        <v>0</v>
      </c>
      <c r="F16" s="172">
        <v>0</v>
      </c>
      <c r="G16" s="173">
        <f t="shared" si="0"/>
        <v>0</v>
      </c>
      <c r="H16" s="172">
        <v>7199163.23</v>
      </c>
      <c r="I16" s="172">
        <v>0</v>
      </c>
      <c r="J16" s="172">
        <v>0</v>
      </c>
      <c r="K16" s="172">
        <v>0</v>
      </c>
      <c r="L16" s="172">
        <f t="shared" si="6"/>
        <v>0</v>
      </c>
      <c r="M16" s="172">
        <v>0</v>
      </c>
      <c r="N16" s="172">
        <v>0</v>
      </c>
      <c r="O16" s="172">
        <v>0</v>
      </c>
      <c r="P16" s="172">
        <f t="shared" si="1"/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f t="shared" si="2"/>
        <v>0</v>
      </c>
      <c r="V16" s="173">
        <f t="shared" si="3"/>
        <v>7199163.23</v>
      </c>
      <c r="W16" s="172">
        <v>0</v>
      </c>
      <c r="X16" s="172">
        <f t="shared" si="4"/>
        <v>7199163.23</v>
      </c>
      <c r="Y16" s="173">
        <v>1412941.38</v>
      </c>
      <c r="Z16" s="172">
        <f t="shared" si="5"/>
        <v>8612104.61</v>
      </c>
    </row>
    <row r="17" spans="1:26" ht="12.75" hidden="1" outlineLevel="1">
      <c r="A17" s="172" t="s">
        <v>1932</v>
      </c>
      <c r="C17" s="173" t="s">
        <v>1933</v>
      </c>
      <c r="D17" s="173" t="s">
        <v>1934</v>
      </c>
      <c r="E17" s="172">
        <v>0</v>
      </c>
      <c r="F17" s="172">
        <v>0</v>
      </c>
      <c r="G17" s="173">
        <f t="shared" si="0"/>
        <v>0</v>
      </c>
      <c r="H17" s="172">
        <v>466184.01</v>
      </c>
      <c r="I17" s="172">
        <v>0</v>
      </c>
      <c r="J17" s="172">
        <v>0</v>
      </c>
      <c r="K17" s="172">
        <v>0</v>
      </c>
      <c r="L17" s="172">
        <f t="shared" si="6"/>
        <v>0</v>
      </c>
      <c r="M17" s="172">
        <v>0</v>
      </c>
      <c r="N17" s="172">
        <v>0</v>
      </c>
      <c r="O17" s="172">
        <v>0</v>
      </c>
      <c r="P17" s="172">
        <f t="shared" si="1"/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f t="shared" si="2"/>
        <v>0</v>
      </c>
      <c r="V17" s="173">
        <f t="shared" si="3"/>
        <v>466184.01</v>
      </c>
      <c r="W17" s="172">
        <v>0</v>
      </c>
      <c r="X17" s="172">
        <f t="shared" si="4"/>
        <v>466184.01</v>
      </c>
      <c r="Y17" s="173">
        <v>32300.32</v>
      </c>
      <c r="Z17" s="172">
        <f t="shared" si="5"/>
        <v>498484.33</v>
      </c>
    </row>
    <row r="18" spans="1:26" ht="12.75" hidden="1" outlineLevel="1">
      <c r="A18" s="172" t="s">
        <v>1935</v>
      </c>
      <c r="C18" s="173" t="s">
        <v>1936</v>
      </c>
      <c r="D18" s="173" t="s">
        <v>1937</v>
      </c>
      <c r="E18" s="172">
        <v>0</v>
      </c>
      <c r="F18" s="172">
        <v>0</v>
      </c>
      <c r="G18" s="173">
        <f t="shared" si="0"/>
        <v>0</v>
      </c>
      <c r="H18" s="172">
        <v>306710</v>
      </c>
      <c r="I18" s="172">
        <v>0</v>
      </c>
      <c r="J18" s="172">
        <v>0</v>
      </c>
      <c r="K18" s="172">
        <v>0</v>
      </c>
      <c r="L18" s="172">
        <f t="shared" si="6"/>
        <v>0</v>
      </c>
      <c r="M18" s="172">
        <v>0</v>
      </c>
      <c r="N18" s="172">
        <v>0</v>
      </c>
      <c r="O18" s="172">
        <v>0</v>
      </c>
      <c r="P18" s="172">
        <f t="shared" si="1"/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f t="shared" si="2"/>
        <v>0</v>
      </c>
      <c r="V18" s="173">
        <f t="shared" si="3"/>
        <v>306710</v>
      </c>
      <c r="W18" s="172">
        <v>0</v>
      </c>
      <c r="X18" s="172">
        <f t="shared" si="4"/>
        <v>306710</v>
      </c>
      <c r="Y18" s="173">
        <v>17023.94</v>
      </c>
      <c r="Z18" s="172">
        <f t="shared" si="5"/>
        <v>323733.94</v>
      </c>
    </row>
    <row r="19" spans="1:26" ht="12.75" hidden="1" outlineLevel="1">
      <c r="A19" s="172" t="s">
        <v>1938</v>
      </c>
      <c r="C19" s="173" t="s">
        <v>1939</v>
      </c>
      <c r="D19" s="173" t="s">
        <v>1940</v>
      </c>
      <c r="E19" s="172">
        <v>0</v>
      </c>
      <c r="F19" s="172">
        <v>0</v>
      </c>
      <c r="G19" s="173">
        <f t="shared" si="0"/>
        <v>0</v>
      </c>
      <c r="H19" s="172">
        <v>261592.21</v>
      </c>
      <c r="I19" s="172">
        <v>0</v>
      </c>
      <c r="J19" s="172">
        <v>0</v>
      </c>
      <c r="K19" s="172">
        <v>0</v>
      </c>
      <c r="L19" s="172">
        <f t="shared" si="6"/>
        <v>0</v>
      </c>
      <c r="M19" s="172">
        <v>0</v>
      </c>
      <c r="N19" s="172">
        <v>0</v>
      </c>
      <c r="O19" s="172">
        <v>0</v>
      </c>
      <c r="P19" s="172">
        <f t="shared" si="1"/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f t="shared" si="2"/>
        <v>0</v>
      </c>
      <c r="V19" s="173">
        <f t="shared" si="3"/>
        <v>261592.21</v>
      </c>
      <c r="W19" s="172">
        <v>0</v>
      </c>
      <c r="X19" s="172">
        <f t="shared" si="4"/>
        <v>261592.21</v>
      </c>
      <c r="Y19" s="173">
        <v>0</v>
      </c>
      <c r="Z19" s="172">
        <f t="shared" si="5"/>
        <v>261592.21</v>
      </c>
    </row>
    <row r="20" spans="1:26" ht="12.75" hidden="1" outlineLevel="1">
      <c r="A20" s="172" t="s">
        <v>1941</v>
      </c>
      <c r="C20" s="173" t="s">
        <v>1942</v>
      </c>
      <c r="D20" s="173" t="s">
        <v>1943</v>
      </c>
      <c r="E20" s="172">
        <v>0</v>
      </c>
      <c r="F20" s="172">
        <v>0</v>
      </c>
      <c r="G20" s="173">
        <f t="shared" si="0"/>
        <v>0</v>
      </c>
      <c r="H20" s="172">
        <v>110291.9</v>
      </c>
      <c r="I20" s="172">
        <v>0</v>
      </c>
      <c r="J20" s="172">
        <v>0</v>
      </c>
      <c r="K20" s="172">
        <v>0</v>
      </c>
      <c r="L20" s="172">
        <f t="shared" si="6"/>
        <v>0</v>
      </c>
      <c r="M20" s="172">
        <v>0</v>
      </c>
      <c r="N20" s="172">
        <v>0</v>
      </c>
      <c r="O20" s="172">
        <v>0</v>
      </c>
      <c r="P20" s="172">
        <f t="shared" si="1"/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f t="shared" si="2"/>
        <v>0</v>
      </c>
      <c r="V20" s="173">
        <f t="shared" si="3"/>
        <v>110291.9</v>
      </c>
      <c r="W20" s="172">
        <v>0</v>
      </c>
      <c r="X20" s="172">
        <f t="shared" si="4"/>
        <v>110291.9</v>
      </c>
      <c r="Y20" s="173">
        <v>2000</v>
      </c>
      <c r="Z20" s="172">
        <f t="shared" si="5"/>
        <v>112291.9</v>
      </c>
    </row>
    <row r="21" spans="1:26" ht="12.75" hidden="1" outlineLevel="1">
      <c r="A21" s="172" t="s">
        <v>1944</v>
      </c>
      <c r="C21" s="173" t="s">
        <v>1945</v>
      </c>
      <c r="D21" s="173" t="s">
        <v>1946</v>
      </c>
      <c r="E21" s="172">
        <v>0</v>
      </c>
      <c r="F21" s="172">
        <v>0</v>
      </c>
      <c r="G21" s="173">
        <f t="shared" si="0"/>
        <v>0</v>
      </c>
      <c r="H21" s="172">
        <v>13865.69</v>
      </c>
      <c r="I21" s="172">
        <v>0</v>
      </c>
      <c r="J21" s="172">
        <v>0</v>
      </c>
      <c r="K21" s="172">
        <v>0</v>
      </c>
      <c r="L21" s="172">
        <f t="shared" si="6"/>
        <v>0</v>
      </c>
      <c r="M21" s="172">
        <v>0</v>
      </c>
      <c r="N21" s="172">
        <v>0</v>
      </c>
      <c r="O21" s="172">
        <v>0</v>
      </c>
      <c r="P21" s="172">
        <f t="shared" si="1"/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f t="shared" si="2"/>
        <v>0</v>
      </c>
      <c r="V21" s="173">
        <f t="shared" si="3"/>
        <v>13865.69</v>
      </c>
      <c r="W21" s="172">
        <v>0</v>
      </c>
      <c r="X21" s="172">
        <f t="shared" si="4"/>
        <v>13865.69</v>
      </c>
      <c r="Y21" s="173">
        <v>0</v>
      </c>
      <c r="Z21" s="172">
        <f t="shared" si="5"/>
        <v>13865.69</v>
      </c>
    </row>
    <row r="22" spans="1:26" ht="12.75" hidden="1" outlineLevel="1">
      <c r="A22" s="172" t="s">
        <v>1947</v>
      </c>
      <c r="C22" s="173" t="s">
        <v>1948</v>
      </c>
      <c r="D22" s="173" t="s">
        <v>1949</v>
      </c>
      <c r="E22" s="172">
        <v>0</v>
      </c>
      <c r="F22" s="172">
        <v>0</v>
      </c>
      <c r="G22" s="173">
        <f t="shared" si="0"/>
        <v>0</v>
      </c>
      <c r="H22" s="172">
        <v>45132.71</v>
      </c>
      <c r="I22" s="172">
        <v>0</v>
      </c>
      <c r="J22" s="172">
        <v>0</v>
      </c>
      <c r="K22" s="172">
        <v>0</v>
      </c>
      <c r="L22" s="172">
        <f t="shared" si="6"/>
        <v>0</v>
      </c>
      <c r="M22" s="172">
        <v>0</v>
      </c>
      <c r="N22" s="172">
        <v>0</v>
      </c>
      <c r="O22" s="172">
        <v>0</v>
      </c>
      <c r="P22" s="172">
        <f t="shared" si="1"/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f t="shared" si="2"/>
        <v>0</v>
      </c>
      <c r="V22" s="173">
        <f t="shared" si="3"/>
        <v>45132.71</v>
      </c>
      <c r="W22" s="172">
        <v>0</v>
      </c>
      <c r="X22" s="172">
        <f t="shared" si="4"/>
        <v>45132.71</v>
      </c>
      <c r="Y22" s="173">
        <v>292667.8</v>
      </c>
      <c r="Z22" s="172">
        <f t="shared" si="5"/>
        <v>337800.51</v>
      </c>
    </row>
    <row r="23" spans="1:26" ht="12.75" hidden="1" outlineLevel="1">
      <c r="A23" s="172" t="s">
        <v>1950</v>
      </c>
      <c r="C23" s="173" t="s">
        <v>1951</v>
      </c>
      <c r="D23" s="173" t="s">
        <v>1952</v>
      </c>
      <c r="E23" s="172">
        <v>0</v>
      </c>
      <c r="F23" s="172">
        <v>0</v>
      </c>
      <c r="G23" s="173">
        <f t="shared" si="0"/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f t="shared" si="6"/>
        <v>0</v>
      </c>
      <c r="M23" s="172">
        <v>0</v>
      </c>
      <c r="N23" s="172">
        <v>0</v>
      </c>
      <c r="O23" s="172">
        <v>0</v>
      </c>
      <c r="P23" s="172">
        <f t="shared" si="1"/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f t="shared" si="2"/>
        <v>0</v>
      </c>
      <c r="V23" s="173">
        <f t="shared" si="3"/>
        <v>0</v>
      </c>
      <c r="W23" s="172">
        <v>0</v>
      </c>
      <c r="X23" s="172">
        <f t="shared" si="4"/>
        <v>0</v>
      </c>
      <c r="Y23" s="173">
        <v>38287.16</v>
      </c>
      <c r="Z23" s="172">
        <f t="shared" si="5"/>
        <v>38287.16</v>
      </c>
    </row>
    <row r="24" spans="1:26" ht="12.75" hidden="1" outlineLevel="1">
      <c r="A24" s="172" t="s">
        <v>1953</v>
      </c>
      <c r="C24" s="173" t="s">
        <v>1954</v>
      </c>
      <c r="D24" s="173" t="s">
        <v>1955</v>
      </c>
      <c r="E24" s="172">
        <v>0</v>
      </c>
      <c r="F24" s="172">
        <v>0</v>
      </c>
      <c r="G24" s="173">
        <f t="shared" si="0"/>
        <v>0</v>
      </c>
      <c r="H24" s="172">
        <v>8114.22</v>
      </c>
      <c r="I24" s="172">
        <v>0</v>
      </c>
      <c r="J24" s="172">
        <v>0</v>
      </c>
      <c r="K24" s="172">
        <v>0</v>
      </c>
      <c r="L24" s="172">
        <f t="shared" si="6"/>
        <v>0</v>
      </c>
      <c r="M24" s="172">
        <v>0</v>
      </c>
      <c r="N24" s="172">
        <v>0</v>
      </c>
      <c r="O24" s="172">
        <v>0</v>
      </c>
      <c r="P24" s="172">
        <f t="shared" si="1"/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f t="shared" si="2"/>
        <v>0</v>
      </c>
      <c r="V24" s="173">
        <f t="shared" si="3"/>
        <v>8114.22</v>
      </c>
      <c r="W24" s="172">
        <v>0</v>
      </c>
      <c r="X24" s="172">
        <f t="shared" si="4"/>
        <v>8114.22</v>
      </c>
      <c r="Y24" s="173">
        <v>33229.86</v>
      </c>
      <c r="Z24" s="172">
        <f t="shared" si="5"/>
        <v>41344.08</v>
      </c>
    </row>
    <row r="25" spans="1:26" ht="12.75" hidden="1" outlineLevel="1">
      <c r="A25" s="172" t="s">
        <v>1956</v>
      </c>
      <c r="C25" s="173" t="s">
        <v>1957</v>
      </c>
      <c r="D25" s="173" t="s">
        <v>1958</v>
      </c>
      <c r="E25" s="172">
        <v>0</v>
      </c>
      <c r="F25" s="172">
        <v>0</v>
      </c>
      <c r="G25" s="173">
        <f t="shared" si="0"/>
        <v>0</v>
      </c>
      <c r="H25" s="172">
        <v>2640</v>
      </c>
      <c r="I25" s="172">
        <v>0</v>
      </c>
      <c r="J25" s="172">
        <v>0</v>
      </c>
      <c r="K25" s="172">
        <v>0</v>
      </c>
      <c r="L25" s="172">
        <f t="shared" si="6"/>
        <v>0</v>
      </c>
      <c r="M25" s="172">
        <v>0</v>
      </c>
      <c r="N25" s="172">
        <v>0</v>
      </c>
      <c r="O25" s="172">
        <v>0</v>
      </c>
      <c r="P25" s="172">
        <f t="shared" si="1"/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f t="shared" si="2"/>
        <v>0</v>
      </c>
      <c r="V25" s="173">
        <f t="shared" si="3"/>
        <v>2640</v>
      </c>
      <c r="W25" s="172">
        <v>0</v>
      </c>
      <c r="X25" s="172">
        <f t="shared" si="4"/>
        <v>2640</v>
      </c>
      <c r="Y25" s="173">
        <v>55728.6</v>
      </c>
      <c r="Z25" s="172">
        <f t="shared" si="5"/>
        <v>58368.6</v>
      </c>
    </row>
    <row r="26" spans="1:27" ht="12" customHeight="1" collapsed="1">
      <c r="A26" s="213" t="s">
        <v>1959</v>
      </c>
      <c r="B26" s="214"/>
      <c r="C26" s="213" t="s">
        <v>1544</v>
      </c>
      <c r="D26" s="215"/>
      <c r="E26" s="190">
        <v>0</v>
      </c>
      <c r="F26" s="190">
        <v>5645935.05</v>
      </c>
      <c r="G26" s="102">
        <f t="shared" si="0"/>
        <v>5645935.05</v>
      </c>
      <c r="H26" s="102">
        <v>8565242.97</v>
      </c>
      <c r="I26" s="102">
        <v>0</v>
      </c>
      <c r="J26" s="102">
        <v>0</v>
      </c>
      <c r="K26" s="102">
        <v>0</v>
      </c>
      <c r="L26" s="102">
        <f t="shared" si="6"/>
        <v>0</v>
      </c>
      <c r="M26" s="102">
        <v>0</v>
      </c>
      <c r="N26" s="102">
        <v>0</v>
      </c>
      <c r="O26" s="102">
        <v>0</v>
      </c>
      <c r="P26" s="102">
        <f t="shared" si="1"/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f t="shared" si="2"/>
        <v>0</v>
      </c>
      <c r="V26" s="102">
        <f t="shared" si="3"/>
        <v>14211178.02</v>
      </c>
      <c r="W26" s="190">
        <v>0</v>
      </c>
      <c r="X26" s="190">
        <f t="shared" si="4"/>
        <v>14211178.02</v>
      </c>
      <c r="Y26" s="190">
        <v>1884179.06</v>
      </c>
      <c r="Z26" s="190">
        <f t="shared" si="5"/>
        <v>16095357.08</v>
      </c>
      <c r="AA26" s="213"/>
    </row>
    <row r="27" spans="1:27" ht="15.75">
      <c r="A27" s="218"/>
      <c r="B27" s="219"/>
      <c r="C27" s="220" t="s">
        <v>1960</v>
      </c>
      <c r="D27" s="74"/>
      <c r="E27" s="152">
        <f aca="true" t="shared" si="7" ref="E27:Z27">E14-E26</f>
        <v>0</v>
      </c>
      <c r="F27" s="152">
        <f t="shared" si="7"/>
        <v>65981873.36</v>
      </c>
      <c r="G27" s="104">
        <f t="shared" si="7"/>
        <v>65981873.36</v>
      </c>
      <c r="H27" s="104">
        <f t="shared" si="7"/>
        <v>-8565242.97</v>
      </c>
      <c r="I27" s="104">
        <f t="shared" si="7"/>
        <v>0</v>
      </c>
      <c r="J27" s="104">
        <f t="shared" si="7"/>
        <v>0</v>
      </c>
      <c r="K27" s="104">
        <f t="shared" si="7"/>
        <v>0</v>
      </c>
      <c r="L27" s="104">
        <f t="shared" si="7"/>
        <v>0</v>
      </c>
      <c r="M27" s="104">
        <f t="shared" si="7"/>
        <v>0</v>
      </c>
      <c r="N27" s="104">
        <f t="shared" si="7"/>
        <v>0</v>
      </c>
      <c r="O27" s="104">
        <f t="shared" si="7"/>
        <v>0</v>
      </c>
      <c r="P27" s="104">
        <f t="shared" si="7"/>
        <v>0</v>
      </c>
      <c r="Q27" s="104">
        <f t="shared" si="7"/>
        <v>0</v>
      </c>
      <c r="R27" s="104">
        <f t="shared" si="7"/>
        <v>0</v>
      </c>
      <c r="S27" s="104">
        <f t="shared" si="7"/>
        <v>0</v>
      </c>
      <c r="T27" s="104">
        <f t="shared" si="7"/>
        <v>0</v>
      </c>
      <c r="U27" s="104">
        <f t="shared" si="7"/>
        <v>0</v>
      </c>
      <c r="V27" s="104">
        <f t="shared" si="7"/>
        <v>57416630.39</v>
      </c>
      <c r="W27" s="152">
        <f t="shared" si="7"/>
        <v>0</v>
      </c>
      <c r="X27" s="152">
        <f t="shared" si="7"/>
        <v>57416630.39</v>
      </c>
      <c r="Y27" s="152">
        <f t="shared" si="7"/>
        <v>-1882459.06</v>
      </c>
      <c r="Z27" s="152">
        <f t="shared" si="7"/>
        <v>55534171.33</v>
      </c>
      <c r="AA27" s="211"/>
    </row>
    <row r="28" spans="2:26" ht="12" customHeight="1">
      <c r="B28" s="214"/>
      <c r="C28" s="213"/>
      <c r="D28" s="215"/>
      <c r="E28" s="190"/>
      <c r="F28" s="19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90"/>
      <c r="X28" s="190"/>
      <c r="Y28" s="190"/>
      <c r="Z28" s="190"/>
    </row>
    <row r="29" spans="1:27" ht="12.75">
      <c r="A29" s="213" t="s">
        <v>1961</v>
      </c>
      <c r="B29" s="214"/>
      <c r="C29" s="213" t="s">
        <v>1546</v>
      </c>
      <c r="D29" s="215"/>
      <c r="E29" s="190">
        <v>0</v>
      </c>
      <c r="F29" s="190">
        <v>0</v>
      </c>
      <c r="G29" s="102">
        <f>E29+F29</f>
        <v>0</v>
      </c>
      <c r="H29" s="102">
        <v>13860910.33</v>
      </c>
      <c r="I29" s="102">
        <v>0</v>
      </c>
      <c r="J29" s="102">
        <v>0</v>
      </c>
      <c r="K29" s="102">
        <v>57818</v>
      </c>
      <c r="L29" s="102">
        <f>J29+I29+K29</f>
        <v>57818</v>
      </c>
      <c r="M29" s="102">
        <v>0</v>
      </c>
      <c r="N29" s="102">
        <v>0</v>
      </c>
      <c r="O29" s="102">
        <v>0</v>
      </c>
      <c r="P29" s="102">
        <f>M29+N29+O29</f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f>G29+H29+L29+P29</f>
        <v>13918728.33</v>
      </c>
      <c r="W29" s="190">
        <v>0</v>
      </c>
      <c r="X29" s="190">
        <f>V29+W29</f>
        <v>13918728.33</v>
      </c>
      <c r="Y29" s="190">
        <v>17922.69</v>
      </c>
      <c r="Z29" s="190">
        <f>X29+Y29</f>
        <v>13936651.02</v>
      </c>
      <c r="AA29" s="213"/>
    </row>
    <row r="30" spans="1:27" ht="12.75">
      <c r="A30" s="213" t="s">
        <v>1962</v>
      </c>
      <c r="B30" s="214"/>
      <c r="C30" s="213" t="s">
        <v>1547</v>
      </c>
      <c r="D30" s="215"/>
      <c r="E30" s="190">
        <v>0</v>
      </c>
      <c r="F30" s="190">
        <v>0</v>
      </c>
      <c r="G30" s="102">
        <f>E30+F30</f>
        <v>0</v>
      </c>
      <c r="H30" s="102">
        <v>3056895.79</v>
      </c>
      <c r="I30" s="102">
        <v>0</v>
      </c>
      <c r="J30" s="102">
        <v>0</v>
      </c>
      <c r="K30" s="102">
        <v>0</v>
      </c>
      <c r="L30" s="102">
        <f>J30+I30+K30</f>
        <v>0</v>
      </c>
      <c r="M30" s="102">
        <v>0</v>
      </c>
      <c r="N30" s="102">
        <v>0</v>
      </c>
      <c r="O30" s="102">
        <v>0</v>
      </c>
      <c r="P30" s="102">
        <f>M30+N30+O30</f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f>G30+H30+L30+P30+U30</f>
        <v>3056895.79</v>
      </c>
      <c r="W30" s="190">
        <v>0</v>
      </c>
      <c r="X30" s="190">
        <f>V30+W30</f>
        <v>3056895.79</v>
      </c>
      <c r="Y30" s="190">
        <v>0</v>
      </c>
      <c r="Z30" s="190">
        <f>X30+Y30</f>
        <v>3056895.79</v>
      </c>
      <c r="AA30" s="213"/>
    </row>
    <row r="31" spans="1:27" ht="12.75">
      <c r="A31" s="213" t="s">
        <v>1963</v>
      </c>
      <c r="B31" s="214"/>
      <c r="C31" s="213" t="s">
        <v>1548</v>
      </c>
      <c r="D31" s="215"/>
      <c r="E31" s="190">
        <v>0</v>
      </c>
      <c r="F31" s="190">
        <v>0</v>
      </c>
      <c r="G31" s="102">
        <f>E31+F31</f>
        <v>0</v>
      </c>
      <c r="H31" s="102">
        <v>4739939.08</v>
      </c>
      <c r="I31" s="102">
        <v>0</v>
      </c>
      <c r="J31" s="102">
        <v>0</v>
      </c>
      <c r="K31" s="102">
        <v>0</v>
      </c>
      <c r="L31" s="102">
        <f>J31+I31+K31</f>
        <v>0</v>
      </c>
      <c r="M31" s="102">
        <v>0</v>
      </c>
      <c r="N31" s="102">
        <v>0</v>
      </c>
      <c r="O31" s="102">
        <v>0</v>
      </c>
      <c r="P31" s="102">
        <f>M31+N31+O31</f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f>G31+H31+L31+P31+U31</f>
        <v>4739939.08</v>
      </c>
      <c r="W31" s="190">
        <v>0</v>
      </c>
      <c r="X31" s="190">
        <f>V31+W31</f>
        <v>4739939.08</v>
      </c>
      <c r="Y31" s="190">
        <v>0</v>
      </c>
      <c r="Z31" s="190">
        <f>X31+Y31</f>
        <v>4739939.08</v>
      </c>
      <c r="AA31" s="213"/>
    </row>
    <row r="32" spans="1:27" ht="12.75">
      <c r="A32" s="213" t="s">
        <v>1964</v>
      </c>
      <c r="B32" s="214"/>
      <c r="C32" s="213" t="s">
        <v>1965</v>
      </c>
      <c r="D32" s="215"/>
      <c r="E32" s="190">
        <v>0</v>
      </c>
      <c r="F32" s="190">
        <v>736634.26</v>
      </c>
      <c r="G32" s="102">
        <f>E32+F32</f>
        <v>736634.26</v>
      </c>
      <c r="H32" s="102">
        <v>0</v>
      </c>
      <c r="I32" s="102">
        <v>0</v>
      </c>
      <c r="J32" s="102">
        <v>0</v>
      </c>
      <c r="K32" s="102">
        <v>0</v>
      </c>
      <c r="L32" s="102">
        <f>J32+I32+K32</f>
        <v>0</v>
      </c>
      <c r="M32" s="102">
        <v>0</v>
      </c>
      <c r="N32" s="102">
        <v>0</v>
      </c>
      <c r="O32" s="102">
        <v>0</v>
      </c>
      <c r="P32" s="102">
        <f>M32+N32+O32</f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f>Q32+R32+S32+T32</f>
        <v>0</v>
      </c>
      <c r="V32" s="102">
        <f>G32+H32+L32+P32+U32</f>
        <v>736634.26</v>
      </c>
      <c r="W32" s="190">
        <v>0</v>
      </c>
      <c r="X32" s="190">
        <f>V32+W32</f>
        <v>736634.26</v>
      </c>
      <c r="Y32" s="190">
        <v>0</v>
      </c>
      <c r="Z32" s="190">
        <f>X32+Y32</f>
        <v>736634.26</v>
      </c>
      <c r="AA32" s="213"/>
    </row>
    <row r="33" spans="1:27" ht="12.75">
      <c r="A33" s="213"/>
      <c r="B33" s="214"/>
      <c r="C33" s="213" t="s">
        <v>1966</v>
      </c>
      <c r="D33" s="215"/>
      <c r="E33" s="190"/>
      <c r="F33" s="190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90"/>
      <c r="X33" s="190"/>
      <c r="Y33" s="190"/>
      <c r="Z33" s="190"/>
      <c r="AA33" s="213"/>
    </row>
    <row r="34" spans="1:27" ht="12.75">
      <c r="A34" s="213"/>
      <c r="B34" s="214"/>
      <c r="C34" s="213" t="s">
        <v>1967</v>
      </c>
      <c r="D34" s="215"/>
      <c r="E34" s="190">
        <v>0</v>
      </c>
      <c r="F34" s="190">
        <v>0</v>
      </c>
      <c r="G34" s="102">
        <f aca="true" t="shared" si="8" ref="G34:G60">E34+F34</f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f aca="true" t="shared" si="9" ref="L34:L60">J34+I34+K34</f>
        <v>0</v>
      </c>
      <c r="M34" s="102">
        <v>0</v>
      </c>
      <c r="N34" s="102">
        <v>0</v>
      </c>
      <c r="O34" s="102">
        <v>0</v>
      </c>
      <c r="P34" s="102">
        <f aca="true" t="shared" si="10" ref="P34:P60">M34+N34+O34</f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f aca="true" t="shared" si="11" ref="U34:U60">Q34+R34+S34+T34</f>
        <v>0</v>
      </c>
      <c r="V34" s="102">
        <f aca="true" t="shared" si="12" ref="V34:V60">G34+H34+L34+P34+U34</f>
        <v>0</v>
      </c>
      <c r="W34" s="190">
        <v>0</v>
      </c>
      <c r="X34" s="190">
        <f aca="true" t="shared" si="13" ref="X34:X60">V34+W34</f>
        <v>0</v>
      </c>
      <c r="Y34" s="190">
        <v>0</v>
      </c>
      <c r="Z34" s="190">
        <f aca="true" t="shared" si="14" ref="Z34:Z60">X34+Y34</f>
        <v>0</v>
      </c>
      <c r="AA34" s="213"/>
    </row>
    <row r="35" spans="1:27" ht="12.75">
      <c r="A35" s="213"/>
      <c r="B35" s="214"/>
      <c r="C35" s="213" t="s">
        <v>1551</v>
      </c>
      <c r="D35" s="215"/>
      <c r="E35" s="190">
        <v>0</v>
      </c>
      <c r="F35" s="190">
        <v>2521380.59</v>
      </c>
      <c r="G35" s="102">
        <f t="shared" si="8"/>
        <v>2521380.59</v>
      </c>
      <c r="H35" s="102">
        <v>0</v>
      </c>
      <c r="I35" s="102">
        <v>0</v>
      </c>
      <c r="J35" s="102">
        <v>0</v>
      </c>
      <c r="K35" s="102">
        <v>0</v>
      </c>
      <c r="L35" s="102">
        <f t="shared" si="9"/>
        <v>0</v>
      </c>
      <c r="M35" s="102">
        <v>0</v>
      </c>
      <c r="N35" s="102">
        <v>0</v>
      </c>
      <c r="O35" s="102">
        <v>0</v>
      </c>
      <c r="P35" s="102">
        <f t="shared" si="10"/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f t="shared" si="11"/>
        <v>0</v>
      </c>
      <c r="V35" s="102">
        <f t="shared" si="12"/>
        <v>2521380.59</v>
      </c>
      <c r="W35" s="190">
        <v>0</v>
      </c>
      <c r="X35" s="190">
        <f t="shared" si="13"/>
        <v>2521380.59</v>
      </c>
      <c r="Y35" s="190">
        <v>0</v>
      </c>
      <c r="Z35" s="190">
        <f t="shared" si="14"/>
        <v>2521380.59</v>
      </c>
      <c r="AA35" s="213"/>
    </row>
    <row r="36" spans="1:27" ht="12.75">
      <c r="A36" s="213"/>
      <c r="B36" s="214"/>
      <c r="C36" s="213" t="s">
        <v>1552</v>
      </c>
      <c r="D36" s="215"/>
      <c r="E36" s="190">
        <v>0</v>
      </c>
      <c r="F36" s="190">
        <v>6951789.62</v>
      </c>
      <c r="G36" s="102">
        <f t="shared" si="8"/>
        <v>6951789.62</v>
      </c>
      <c r="H36" s="102">
        <v>0</v>
      </c>
      <c r="I36" s="102">
        <v>0</v>
      </c>
      <c r="J36" s="102">
        <v>0</v>
      </c>
      <c r="K36" s="102">
        <v>0</v>
      </c>
      <c r="L36" s="102">
        <f t="shared" si="9"/>
        <v>0</v>
      </c>
      <c r="M36" s="102">
        <v>0</v>
      </c>
      <c r="N36" s="102">
        <v>0</v>
      </c>
      <c r="O36" s="102">
        <v>0</v>
      </c>
      <c r="P36" s="102">
        <f t="shared" si="10"/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f t="shared" si="11"/>
        <v>0</v>
      </c>
      <c r="V36" s="102">
        <f t="shared" si="12"/>
        <v>6951789.62</v>
      </c>
      <c r="W36" s="190">
        <v>0</v>
      </c>
      <c r="X36" s="190">
        <f t="shared" si="13"/>
        <v>6951789.62</v>
      </c>
      <c r="Y36" s="190">
        <v>0</v>
      </c>
      <c r="Z36" s="190">
        <f t="shared" si="14"/>
        <v>6951789.62</v>
      </c>
      <c r="AA36" s="213"/>
    </row>
    <row r="37" spans="1:27" ht="12.75">
      <c r="A37" s="213" t="s">
        <v>1968</v>
      </c>
      <c r="B37" s="214"/>
      <c r="C37" s="213" t="s">
        <v>1969</v>
      </c>
      <c r="D37" s="215"/>
      <c r="E37" s="190">
        <v>0</v>
      </c>
      <c r="F37" s="190">
        <v>0</v>
      </c>
      <c r="G37" s="102">
        <f t="shared" si="8"/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f t="shared" si="9"/>
        <v>0</v>
      </c>
      <c r="M37" s="102">
        <v>0</v>
      </c>
      <c r="N37" s="102">
        <v>0</v>
      </c>
      <c r="O37" s="102">
        <v>0</v>
      </c>
      <c r="P37" s="102">
        <f t="shared" si="10"/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f t="shared" si="11"/>
        <v>0</v>
      </c>
      <c r="V37" s="102">
        <f t="shared" si="12"/>
        <v>0</v>
      </c>
      <c r="W37" s="190">
        <v>0</v>
      </c>
      <c r="X37" s="190">
        <f t="shared" si="13"/>
        <v>0</v>
      </c>
      <c r="Y37" s="190">
        <v>0</v>
      </c>
      <c r="Z37" s="190">
        <f t="shared" si="14"/>
        <v>0</v>
      </c>
      <c r="AA37" s="213"/>
    </row>
    <row r="38" spans="1:27" ht="12.75">
      <c r="A38" s="213"/>
      <c r="B38" s="214"/>
      <c r="C38" s="213" t="s">
        <v>1970</v>
      </c>
      <c r="D38" s="215"/>
      <c r="E38" s="190">
        <v>0</v>
      </c>
      <c r="F38" s="190">
        <v>13716078.62</v>
      </c>
      <c r="G38" s="102">
        <f t="shared" si="8"/>
        <v>13716078.62</v>
      </c>
      <c r="H38" s="102">
        <v>0</v>
      </c>
      <c r="I38" s="102">
        <v>0</v>
      </c>
      <c r="J38" s="102">
        <v>0</v>
      </c>
      <c r="K38" s="102">
        <v>0</v>
      </c>
      <c r="L38" s="102">
        <f t="shared" si="9"/>
        <v>0</v>
      </c>
      <c r="M38" s="102">
        <v>0</v>
      </c>
      <c r="N38" s="102">
        <v>0</v>
      </c>
      <c r="O38" s="102">
        <v>0</v>
      </c>
      <c r="P38" s="102">
        <f t="shared" si="10"/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f t="shared" si="11"/>
        <v>0</v>
      </c>
      <c r="V38" s="102">
        <f t="shared" si="12"/>
        <v>13716078.62</v>
      </c>
      <c r="W38" s="190">
        <v>0</v>
      </c>
      <c r="X38" s="190">
        <f t="shared" si="13"/>
        <v>13716078.62</v>
      </c>
      <c r="Y38" s="190">
        <v>0</v>
      </c>
      <c r="Z38" s="190">
        <f t="shared" si="14"/>
        <v>13716078.62</v>
      </c>
      <c r="AA38" s="213"/>
    </row>
    <row r="39" spans="1:26" ht="12.75" hidden="1" outlineLevel="1">
      <c r="A39" s="172" t="s">
        <v>1971</v>
      </c>
      <c r="C39" s="173" t="s">
        <v>1972</v>
      </c>
      <c r="D39" s="173" t="s">
        <v>1973</v>
      </c>
      <c r="E39" s="172">
        <v>0</v>
      </c>
      <c r="F39" s="172">
        <v>0</v>
      </c>
      <c r="G39" s="221">
        <f t="shared" si="8"/>
        <v>0</v>
      </c>
      <c r="H39" s="222">
        <v>0</v>
      </c>
      <c r="I39" s="222">
        <v>0</v>
      </c>
      <c r="J39" s="222">
        <v>0</v>
      </c>
      <c r="K39" s="222">
        <v>500</v>
      </c>
      <c r="L39" s="222">
        <f t="shared" si="9"/>
        <v>500</v>
      </c>
      <c r="M39" s="222">
        <v>0</v>
      </c>
      <c r="N39" s="222">
        <v>0</v>
      </c>
      <c r="O39" s="222">
        <v>0</v>
      </c>
      <c r="P39" s="222">
        <f t="shared" si="10"/>
        <v>0</v>
      </c>
      <c r="Q39" s="221">
        <v>0</v>
      </c>
      <c r="R39" s="221">
        <v>0</v>
      </c>
      <c r="S39" s="221">
        <v>0</v>
      </c>
      <c r="T39" s="221">
        <v>0</v>
      </c>
      <c r="U39" s="221">
        <f t="shared" si="11"/>
        <v>0</v>
      </c>
      <c r="V39" s="221">
        <f t="shared" si="12"/>
        <v>500</v>
      </c>
      <c r="W39" s="172">
        <v>0</v>
      </c>
      <c r="X39" s="172">
        <f t="shared" si="13"/>
        <v>500</v>
      </c>
      <c r="Y39" s="173">
        <v>0</v>
      </c>
      <c r="Z39" s="172">
        <f t="shared" si="14"/>
        <v>500</v>
      </c>
    </row>
    <row r="40" spans="1:26" ht="12.75" hidden="1" outlineLevel="1">
      <c r="A40" s="172" t="s">
        <v>1974</v>
      </c>
      <c r="C40" s="173" t="s">
        <v>1975</v>
      </c>
      <c r="D40" s="173" t="s">
        <v>1976</v>
      </c>
      <c r="E40" s="172">
        <v>0</v>
      </c>
      <c r="F40" s="172">
        <v>0</v>
      </c>
      <c r="G40" s="221">
        <f t="shared" si="8"/>
        <v>0</v>
      </c>
      <c r="H40" s="222">
        <v>0</v>
      </c>
      <c r="I40" s="222">
        <v>4835.39</v>
      </c>
      <c r="J40" s="222">
        <v>0</v>
      </c>
      <c r="K40" s="222">
        <v>34506.89</v>
      </c>
      <c r="L40" s="222">
        <f t="shared" si="9"/>
        <v>39342.28</v>
      </c>
      <c r="M40" s="222">
        <v>0</v>
      </c>
      <c r="N40" s="222">
        <v>0</v>
      </c>
      <c r="O40" s="222">
        <v>0</v>
      </c>
      <c r="P40" s="222">
        <f t="shared" si="10"/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f t="shared" si="11"/>
        <v>0</v>
      </c>
      <c r="V40" s="221">
        <f t="shared" si="12"/>
        <v>39342.28</v>
      </c>
      <c r="W40" s="172">
        <v>0</v>
      </c>
      <c r="X40" s="172">
        <f t="shared" si="13"/>
        <v>39342.28</v>
      </c>
      <c r="Y40" s="173">
        <v>0</v>
      </c>
      <c r="Z40" s="172">
        <f t="shared" si="14"/>
        <v>39342.28</v>
      </c>
    </row>
    <row r="41" spans="1:26" ht="12.75" hidden="1" outlineLevel="1">
      <c r="A41" s="172" t="s">
        <v>1977</v>
      </c>
      <c r="C41" s="173" t="s">
        <v>1978</v>
      </c>
      <c r="D41" s="173" t="s">
        <v>1979</v>
      </c>
      <c r="E41" s="172">
        <v>0</v>
      </c>
      <c r="F41" s="172">
        <v>0</v>
      </c>
      <c r="G41" s="221">
        <f t="shared" si="8"/>
        <v>0</v>
      </c>
      <c r="H41" s="222">
        <v>0</v>
      </c>
      <c r="I41" s="222">
        <v>0</v>
      </c>
      <c r="J41" s="222">
        <v>0</v>
      </c>
      <c r="K41" s="222">
        <v>14529.36</v>
      </c>
      <c r="L41" s="222">
        <f t="shared" si="9"/>
        <v>14529.36</v>
      </c>
      <c r="M41" s="222">
        <v>0</v>
      </c>
      <c r="N41" s="222">
        <v>0</v>
      </c>
      <c r="O41" s="222">
        <v>0</v>
      </c>
      <c r="P41" s="222">
        <f t="shared" si="10"/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f t="shared" si="11"/>
        <v>0</v>
      </c>
      <c r="V41" s="221">
        <f t="shared" si="12"/>
        <v>14529.36</v>
      </c>
      <c r="W41" s="172">
        <v>0</v>
      </c>
      <c r="X41" s="172">
        <f t="shared" si="13"/>
        <v>14529.36</v>
      </c>
      <c r="Y41" s="173">
        <v>0</v>
      </c>
      <c r="Z41" s="172">
        <f t="shared" si="14"/>
        <v>14529.36</v>
      </c>
    </row>
    <row r="42" spans="1:26" ht="12.75" hidden="1" outlineLevel="1">
      <c r="A42" s="172" t="s">
        <v>1980</v>
      </c>
      <c r="C42" s="173" t="s">
        <v>1981</v>
      </c>
      <c r="D42" s="173" t="s">
        <v>1982</v>
      </c>
      <c r="E42" s="172">
        <v>0</v>
      </c>
      <c r="F42" s="172">
        <v>0</v>
      </c>
      <c r="G42" s="221">
        <f t="shared" si="8"/>
        <v>0</v>
      </c>
      <c r="H42" s="222">
        <v>0</v>
      </c>
      <c r="I42" s="222">
        <v>0</v>
      </c>
      <c r="J42" s="222">
        <v>0</v>
      </c>
      <c r="K42" s="222">
        <v>1400</v>
      </c>
      <c r="L42" s="222">
        <f t="shared" si="9"/>
        <v>1400</v>
      </c>
      <c r="M42" s="222">
        <v>0</v>
      </c>
      <c r="N42" s="222">
        <v>0</v>
      </c>
      <c r="O42" s="222">
        <v>0</v>
      </c>
      <c r="P42" s="222">
        <f t="shared" si="10"/>
        <v>0</v>
      </c>
      <c r="Q42" s="221">
        <v>0</v>
      </c>
      <c r="R42" s="221">
        <v>0</v>
      </c>
      <c r="S42" s="221">
        <v>0</v>
      </c>
      <c r="T42" s="221">
        <v>0</v>
      </c>
      <c r="U42" s="221">
        <f t="shared" si="11"/>
        <v>0</v>
      </c>
      <c r="V42" s="221">
        <f t="shared" si="12"/>
        <v>1400</v>
      </c>
      <c r="W42" s="172">
        <v>0</v>
      </c>
      <c r="X42" s="172">
        <f t="shared" si="13"/>
        <v>1400</v>
      </c>
      <c r="Y42" s="173">
        <v>0</v>
      </c>
      <c r="Z42" s="172">
        <f t="shared" si="14"/>
        <v>1400</v>
      </c>
    </row>
    <row r="43" spans="1:26" ht="12.75" hidden="1" outlineLevel="1">
      <c r="A43" s="172" t="s">
        <v>1983</v>
      </c>
      <c r="C43" s="173" t="s">
        <v>1984</v>
      </c>
      <c r="D43" s="173" t="s">
        <v>1985</v>
      </c>
      <c r="E43" s="172">
        <v>0</v>
      </c>
      <c r="F43" s="172">
        <v>0</v>
      </c>
      <c r="G43" s="221">
        <f t="shared" si="8"/>
        <v>0</v>
      </c>
      <c r="H43" s="222">
        <v>0</v>
      </c>
      <c r="I43" s="222">
        <v>0</v>
      </c>
      <c r="J43" s="222">
        <v>0</v>
      </c>
      <c r="K43" s="222">
        <v>1060</v>
      </c>
      <c r="L43" s="222">
        <f t="shared" si="9"/>
        <v>1060</v>
      </c>
      <c r="M43" s="222">
        <v>0</v>
      </c>
      <c r="N43" s="222">
        <v>0</v>
      </c>
      <c r="O43" s="222">
        <v>0</v>
      </c>
      <c r="P43" s="222">
        <f t="shared" si="10"/>
        <v>0</v>
      </c>
      <c r="Q43" s="221">
        <v>0</v>
      </c>
      <c r="R43" s="221">
        <v>0</v>
      </c>
      <c r="S43" s="221">
        <v>0</v>
      </c>
      <c r="T43" s="221">
        <v>0</v>
      </c>
      <c r="U43" s="221">
        <f t="shared" si="11"/>
        <v>0</v>
      </c>
      <c r="V43" s="221">
        <f t="shared" si="12"/>
        <v>1060</v>
      </c>
      <c r="W43" s="172">
        <v>0</v>
      </c>
      <c r="X43" s="172">
        <f t="shared" si="13"/>
        <v>1060</v>
      </c>
      <c r="Y43" s="173">
        <v>0</v>
      </c>
      <c r="Z43" s="172">
        <f t="shared" si="14"/>
        <v>1060</v>
      </c>
    </row>
    <row r="44" spans="1:26" ht="12.75" hidden="1" outlineLevel="1">
      <c r="A44" s="172" t="s">
        <v>1986</v>
      </c>
      <c r="C44" s="173" t="s">
        <v>1987</v>
      </c>
      <c r="D44" s="173" t="s">
        <v>1988</v>
      </c>
      <c r="E44" s="172">
        <v>0</v>
      </c>
      <c r="F44" s="172">
        <v>0</v>
      </c>
      <c r="G44" s="221">
        <f t="shared" si="8"/>
        <v>0</v>
      </c>
      <c r="H44" s="222">
        <v>0</v>
      </c>
      <c r="I44" s="222">
        <v>0</v>
      </c>
      <c r="J44" s="222">
        <v>0</v>
      </c>
      <c r="K44" s="222">
        <v>4457.3</v>
      </c>
      <c r="L44" s="222">
        <f t="shared" si="9"/>
        <v>4457.3</v>
      </c>
      <c r="M44" s="222">
        <v>0</v>
      </c>
      <c r="N44" s="222">
        <v>0</v>
      </c>
      <c r="O44" s="222">
        <v>0</v>
      </c>
      <c r="P44" s="222">
        <f t="shared" si="10"/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f t="shared" si="11"/>
        <v>0</v>
      </c>
      <c r="V44" s="221">
        <f t="shared" si="12"/>
        <v>4457.3</v>
      </c>
      <c r="W44" s="172">
        <v>0</v>
      </c>
      <c r="X44" s="172">
        <f t="shared" si="13"/>
        <v>4457.3</v>
      </c>
      <c r="Y44" s="173">
        <v>0</v>
      </c>
      <c r="Z44" s="172">
        <f t="shared" si="14"/>
        <v>4457.3</v>
      </c>
    </row>
    <row r="45" spans="1:26" ht="12.75" hidden="1" outlineLevel="1">
      <c r="A45" s="172" t="s">
        <v>1989</v>
      </c>
      <c r="C45" s="173" t="s">
        <v>1990</v>
      </c>
      <c r="D45" s="173" t="s">
        <v>1991</v>
      </c>
      <c r="E45" s="172">
        <v>0</v>
      </c>
      <c r="F45" s="172">
        <v>0</v>
      </c>
      <c r="G45" s="221">
        <f t="shared" si="8"/>
        <v>0</v>
      </c>
      <c r="H45" s="222">
        <v>0</v>
      </c>
      <c r="I45" s="222">
        <v>0</v>
      </c>
      <c r="J45" s="222">
        <v>0</v>
      </c>
      <c r="K45" s="222">
        <v>1580</v>
      </c>
      <c r="L45" s="222">
        <f t="shared" si="9"/>
        <v>1580</v>
      </c>
      <c r="M45" s="222">
        <v>0</v>
      </c>
      <c r="N45" s="222">
        <v>0</v>
      </c>
      <c r="O45" s="222">
        <v>0</v>
      </c>
      <c r="P45" s="222">
        <f t="shared" si="10"/>
        <v>0</v>
      </c>
      <c r="Q45" s="221">
        <v>0</v>
      </c>
      <c r="R45" s="221">
        <v>0</v>
      </c>
      <c r="S45" s="221">
        <v>0</v>
      </c>
      <c r="T45" s="221">
        <v>0</v>
      </c>
      <c r="U45" s="221">
        <f t="shared" si="11"/>
        <v>0</v>
      </c>
      <c r="V45" s="221">
        <f t="shared" si="12"/>
        <v>1580</v>
      </c>
      <c r="W45" s="172">
        <v>0</v>
      </c>
      <c r="X45" s="172">
        <f t="shared" si="13"/>
        <v>1580</v>
      </c>
      <c r="Y45" s="173">
        <v>0</v>
      </c>
      <c r="Z45" s="172">
        <f t="shared" si="14"/>
        <v>1580</v>
      </c>
    </row>
    <row r="46" spans="1:26" ht="12.75" hidden="1" outlineLevel="1">
      <c r="A46" s="172" t="s">
        <v>1992</v>
      </c>
      <c r="C46" s="173" t="s">
        <v>1993</v>
      </c>
      <c r="D46" s="173" t="s">
        <v>1994</v>
      </c>
      <c r="E46" s="172">
        <v>0</v>
      </c>
      <c r="F46" s="172">
        <v>0</v>
      </c>
      <c r="G46" s="221">
        <f t="shared" si="8"/>
        <v>0</v>
      </c>
      <c r="H46" s="222">
        <v>0</v>
      </c>
      <c r="I46" s="222">
        <v>14088.46</v>
      </c>
      <c r="J46" s="222">
        <v>0</v>
      </c>
      <c r="K46" s="222">
        <v>170000</v>
      </c>
      <c r="L46" s="222">
        <f t="shared" si="9"/>
        <v>184088.46</v>
      </c>
      <c r="M46" s="222">
        <v>0</v>
      </c>
      <c r="N46" s="222">
        <v>0</v>
      </c>
      <c r="O46" s="222">
        <v>0</v>
      </c>
      <c r="P46" s="222">
        <f t="shared" si="10"/>
        <v>0</v>
      </c>
      <c r="Q46" s="221">
        <v>0</v>
      </c>
      <c r="R46" s="221">
        <v>0</v>
      </c>
      <c r="S46" s="221">
        <v>0</v>
      </c>
      <c r="T46" s="221">
        <v>0</v>
      </c>
      <c r="U46" s="221">
        <f t="shared" si="11"/>
        <v>0</v>
      </c>
      <c r="V46" s="221">
        <f t="shared" si="12"/>
        <v>184088.46</v>
      </c>
      <c r="W46" s="172">
        <v>0</v>
      </c>
      <c r="X46" s="172">
        <f t="shared" si="13"/>
        <v>184088.46</v>
      </c>
      <c r="Y46" s="173">
        <v>0</v>
      </c>
      <c r="Z46" s="172">
        <f t="shared" si="14"/>
        <v>184088.46</v>
      </c>
    </row>
    <row r="47" spans="1:26" ht="12.75" hidden="1" outlineLevel="1">
      <c r="A47" s="172" t="s">
        <v>1995</v>
      </c>
      <c r="C47" s="173" t="s">
        <v>1996</v>
      </c>
      <c r="D47" s="173" t="s">
        <v>1997</v>
      </c>
      <c r="E47" s="172">
        <v>0</v>
      </c>
      <c r="F47" s="172">
        <v>0</v>
      </c>
      <c r="G47" s="221">
        <f t="shared" si="8"/>
        <v>0</v>
      </c>
      <c r="H47" s="222">
        <v>0</v>
      </c>
      <c r="I47" s="222">
        <v>0</v>
      </c>
      <c r="J47" s="222">
        <v>0</v>
      </c>
      <c r="K47" s="222">
        <v>-500</v>
      </c>
      <c r="L47" s="222">
        <f t="shared" si="9"/>
        <v>-500</v>
      </c>
      <c r="M47" s="222">
        <v>0</v>
      </c>
      <c r="N47" s="222">
        <v>0</v>
      </c>
      <c r="O47" s="222">
        <v>0</v>
      </c>
      <c r="P47" s="222">
        <f t="shared" si="10"/>
        <v>0</v>
      </c>
      <c r="Q47" s="221">
        <v>0</v>
      </c>
      <c r="R47" s="221">
        <v>0</v>
      </c>
      <c r="S47" s="221">
        <v>0</v>
      </c>
      <c r="T47" s="221">
        <v>0</v>
      </c>
      <c r="U47" s="221">
        <f t="shared" si="11"/>
        <v>0</v>
      </c>
      <c r="V47" s="221">
        <f t="shared" si="12"/>
        <v>-500</v>
      </c>
      <c r="W47" s="172">
        <v>0</v>
      </c>
      <c r="X47" s="172">
        <f t="shared" si="13"/>
        <v>-500</v>
      </c>
      <c r="Y47" s="173">
        <v>0</v>
      </c>
      <c r="Z47" s="172">
        <f t="shared" si="14"/>
        <v>-500</v>
      </c>
    </row>
    <row r="48" spans="1:26" ht="12.75" hidden="1" outlineLevel="1">
      <c r="A48" s="172" t="s">
        <v>1998</v>
      </c>
      <c r="C48" s="173" t="s">
        <v>1999</v>
      </c>
      <c r="D48" s="173" t="s">
        <v>2000</v>
      </c>
      <c r="E48" s="172">
        <v>0</v>
      </c>
      <c r="F48" s="172">
        <v>0</v>
      </c>
      <c r="G48" s="221">
        <f t="shared" si="8"/>
        <v>0</v>
      </c>
      <c r="H48" s="222">
        <v>0</v>
      </c>
      <c r="I48" s="222">
        <v>0</v>
      </c>
      <c r="J48" s="222">
        <v>0</v>
      </c>
      <c r="K48" s="222">
        <v>-14529.36</v>
      </c>
      <c r="L48" s="222">
        <f t="shared" si="9"/>
        <v>-14529.36</v>
      </c>
      <c r="M48" s="222">
        <v>0</v>
      </c>
      <c r="N48" s="222">
        <v>0</v>
      </c>
      <c r="O48" s="222">
        <v>0</v>
      </c>
      <c r="P48" s="222">
        <f t="shared" si="10"/>
        <v>0</v>
      </c>
      <c r="Q48" s="221">
        <v>0</v>
      </c>
      <c r="R48" s="221">
        <v>0</v>
      </c>
      <c r="S48" s="221">
        <v>0</v>
      </c>
      <c r="T48" s="221">
        <v>0</v>
      </c>
      <c r="U48" s="221">
        <f t="shared" si="11"/>
        <v>0</v>
      </c>
      <c r="V48" s="221">
        <f t="shared" si="12"/>
        <v>-14529.36</v>
      </c>
      <c r="W48" s="172">
        <v>0</v>
      </c>
      <c r="X48" s="172">
        <f t="shared" si="13"/>
        <v>-14529.36</v>
      </c>
      <c r="Y48" s="173">
        <v>0</v>
      </c>
      <c r="Z48" s="172">
        <f t="shared" si="14"/>
        <v>-14529.36</v>
      </c>
    </row>
    <row r="49" spans="1:26" ht="12.75" hidden="1" outlineLevel="1">
      <c r="A49" s="172" t="s">
        <v>2001</v>
      </c>
      <c r="C49" s="173" t="s">
        <v>2002</v>
      </c>
      <c r="D49" s="173" t="s">
        <v>2003</v>
      </c>
      <c r="E49" s="172">
        <v>0</v>
      </c>
      <c r="F49" s="172">
        <v>0</v>
      </c>
      <c r="G49" s="221">
        <f t="shared" si="8"/>
        <v>0</v>
      </c>
      <c r="H49" s="222">
        <v>0</v>
      </c>
      <c r="I49" s="222">
        <v>0</v>
      </c>
      <c r="J49" s="222">
        <v>0</v>
      </c>
      <c r="K49" s="222">
        <v>-1400</v>
      </c>
      <c r="L49" s="222">
        <f t="shared" si="9"/>
        <v>-1400</v>
      </c>
      <c r="M49" s="222">
        <v>0</v>
      </c>
      <c r="N49" s="222">
        <v>0</v>
      </c>
      <c r="O49" s="222">
        <v>0</v>
      </c>
      <c r="P49" s="222">
        <f t="shared" si="10"/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f t="shared" si="11"/>
        <v>0</v>
      </c>
      <c r="V49" s="221">
        <f t="shared" si="12"/>
        <v>-1400</v>
      </c>
      <c r="W49" s="172">
        <v>0</v>
      </c>
      <c r="X49" s="172">
        <f t="shared" si="13"/>
        <v>-1400</v>
      </c>
      <c r="Y49" s="173">
        <v>0</v>
      </c>
      <c r="Z49" s="172">
        <f t="shared" si="14"/>
        <v>-1400</v>
      </c>
    </row>
    <row r="50" spans="1:26" ht="12.75" hidden="1" outlineLevel="1">
      <c r="A50" s="172" t="s">
        <v>2004</v>
      </c>
      <c r="C50" s="173" t="s">
        <v>2005</v>
      </c>
      <c r="D50" s="173" t="s">
        <v>2006</v>
      </c>
      <c r="E50" s="172">
        <v>0</v>
      </c>
      <c r="F50" s="172">
        <v>0</v>
      </c>
      <c r="G50" s="221">
        <f t="shared" si="8"/>
        <v>0</v>
      </c>
      <c r="H50" s="222">
        <v>0</v>
      </c>
      <c r="I50" s="222">
        <v>0</v>
      </c>
      <c r="J50" s="222">
        <v>0</v>
      </c>
      <c r="K50" s="222">
        <v>-1060</v>
      </c>
      <c r="L50" s="222">
        <f t="shared" si="9"/>
        <v>-1060</v>
      </c>
      <c r="M50" s="222">
        <v>0</v>
      </c>
      <c r="N50" s="222">
        <v>0</v>
      </c>
      <c r="O50" s="222">
        <v>0</v>
      </c>
      <c r="P50" s="222">
        <f t="shared" si="10"/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f t="shared" si="11"/>
        <v>0</v>
      </c>
      <c r="V50" s="221">
        <f t="shared" si="12"/>
        <v>-1060</v>
      </c>
      <c r="W50" s="172">
        <v>0</v>
      </c>
      <c r="X50" s="172">
        <f t="shared" si="13"/>
        <v>-1060</v>
      </c>
      <c r="Y50" s="173">
        <v>0</v>
      </c>
      <c r="Z50" s="172">
        <f t="shared" si="14"/>
        <v>-1060</v>
      </c>
    </row>
    <row r="51" spans="1:26" ht="12.75" hidden="1" outlineLevel="1">
      <c r="A51" s="172" t="s">
        <v>2007</v>
      </c>
      <c r="C51" s="173" t="s">
        <v>2008</v>
      </c>
      <c r="D51" s="173" t="s">
        <v>2009</v>
      </c>
      <c r="E51" s="172">
        <v>0</v>
      </c>
      <c r="F51" s="172">
        <v>0</v>
      </c>
      <c r="G51" s="221">
        <f t="shared" si="8"/>
        <v>0</v>
      </c>
      <c r="H51" s="222">
        <v>0</v>
      </c>
      <c r="I51" s="222">
        <v>0</v>
      </c>
      <c r="J51" s="222">
        <v>0</v>
      </c>
      <c r="K51" s="222">
        <v>-4457.3</v>
      </c>
      <c r="L51" s="222">
        <f t="shared" si="9"/>
        <v>-4457.3</v>
      </c>
      <c r="M51" s="222">
        <v>0</v>
      </c>
      <c r="N51" s="222">
        <v>0</v>
      </c>
      <c r="O51" s="222">
        <v>0</v>
      </c>
      <c r="P51" s="222">
        <f t="shared" si="10"/>
        <v>0</v>
      </c>
      <c r="Q51" s="221">
        <v>0</v>
      </c>
      <c r="R51" s="221">
        <v>0</v>
      </c>
      <c r="S51" s="221">
        <v>0</v>
      </c>
      <c r="T51" s="221">
        <v>0</v>
      </c>
      <c r="U51" s="221">
        <f t="shared" si="11"/>
        <v>0</v>
      </c>
      <c r="V51" s="221">
        <f t="shared" si="12"/>
        <v>-4457.3</v>
      </c>
      <c r="W51" s="172">
        <v>0</v>
      </c>
      <c r="X51" s="172">
        <f t="shared" si="13"/>
        <v>-4457.3</v>
      </c>
      <c r="Y51" s="173">
        <v>0</v>
      </c>
      <c r="Z51" s="172">
        <f t="shared" si="14"/>
        <v>-4457.3</v>
      </c>
    </row>
    <row r="52" spans="1:26" ht="12.75" hidden="1" outlineLevel="1">
      <c r="A52" s="172" t="s">
        <v>2010</v>
      </c>
      <c r="C52" s="173" t="s">
        <v>2011</v>
      </c>
      <c r="D52" s="173" t="s">
        <v>2012</v>
      </c>
      <c r="E52" s="172">
        <v>0</v>
      </c>
      <c r="F52" s="172">
        <v>0</v>
      </c>
      <c r="G52" s="221">
        <f t="shared" si="8"/>
        <v>0</v>
      </c>
      <c r="H52" s="222">
        <v>0</v>
      </c>
      <c r="I52" s="222">
        <v>0</v>
      </c>
      <c r="J52" s="222">
        <v>0</v>
      </c>
      <c r="K52" s="222">
        <v>-1580</v>
      </c>
      <c r="L52" s="222">
        <f t="shared" si="9"/>
        <v>-1580</v>
      </c>
      <c r="M52" s="222">
        <v>0</v>
      </c>
      <c r="N52" s="222">
        <v>0</v>
      </c>
      <c r="O52" s="222">
        <v>0</v>
      </c>
      <c r="P52" s="222">
        <f t="shared" si="10"/>
        <v>0</v>
      </c>
      <c r="Q52" s="221">
        <v>0</v>
      </c>
      <c r="R52" s="221">
        <v>0</v>
      </c>
      <c r="S52" s="221">
        <v>0</v>
      </c>
      <c r="T52" s="221">
        <v>0</v>
      </c>
      <c r="U52" s="221">
        <f t="shared" si="11"/>
        <v>0</v>
      </c>
      <c r="V52" s="221">
        <f t="shared" si="12"/>
        <v>-1580</v>
      </c>
      <c r="W52" s="172">
        <v>0</v>
      </c>
      <c r="X52" s="172">
        <f t="shared" si="13"/>
        <v>-1580</v>
      </c>
      <c r="Y52" s="173">
        <v>0</v>
      </c>
      <c r="Z52" s="172">
        <f t="shared" si="14"/>
        <v>-1580</v>
      </c>
    </row>
    <row r="53" spans="1:26" ht="12.75" hidden="1" outlineLevel="1">
      <c r="A53" s="172" t="s">
        <v>2013</v>
      </c>
      <c r="C53" s="173" t="s">
        <v>2014</v>
      </c>
      <c r="D53" s="173" t="s">
        <v>2015</v>
      </c>
      <c r="E53" s="172">
        <v>0</v>
      </c>
      <c r="F53" s="172">
        <v>0</v>
      </c>
      <c r="G53" s="221">
        <f t="shared" si="8"/>
        <v>0</v>
      </c>
      <c r="H53" s="222">
        <v>0</v>
      </c>
      <c r="I53" s="222">
        <v>0</v>
      </c>
      <c r="J53" s="222">
        <v>0</v>
      </c>
      <c r="K53" s="222">
        <v>-500</v>
      </c>
      <c r="L53" s="222">
        <f t="shared" si="9"/>
        <v>-500</v>
      </c>
      <c r="M53" s="222">
        <v>0</v>
      </c>
      <c r="N53" s="222">
        <v>0</v>
      </c>
      <c r="O53" s="222">
        <v>0</v>
      </c>
      <c r="P53" s="222">
        <f t="shared" si="10"/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f t="shared" si="11"/>
        <v>0</v>
      </c>
      <c r="V53" s="221">
        <f t="shared" si="12"/>
        <v>-500</v>
      </c>
      <c r="W53" s="172">
        <v>0</v>
      </c>
      <c r="X53" s="172">
        <f t="shared" si="13"/>
        <v>-500</v>
      </c>
      <c r="Y53" s="173">
        <v>0</v>
      </c>
      <c r="Z53" s="172">
        <f t="shared" si="14"/>
        <v>-500</v>
      </c>
    </row>
    <row r="54" spans="1:27" ht="12.75" collapsed="1">
      <c r="A54" s="213" t="s">
        <v>2016</v>
      </c>
      <c r="B54" s="214"/>
      <c r="C54" s="213" t="s">
        <v>1554</v>
      </c>
      <c r="D54" s="215"/>
      <c r="E54" s="190">
        <v>0</v>
      </c>
      <c r="F54" s="190">
        <v>0</v>
      </c>
      <c r="G54" s="102">
        <f t="shared" si="8"/>
        <v>0</v>
      </c>
      <c r="H54" s="102">
        <v>0</v>
      </c>
      <c r="I54" s="102">
        <v>18923.85</v>
      </c>
      <c r="J54" s="102">
        <v>0</v>
      </c>
      <c r="K54" s="102">
        <v>204006.89</v>
      </c>
      <c r="L54" s="102">
        <f t="shared" si="9"/>
        <v>222930.74000000002</v>
      </c>
      <c r="M54" s="102">
        <v>0</v>
      </c>
      <c r="N54" s="102">
        <v>0</v>
      </c>
      <c r="O54" s="102">
        <v>0</v>
      </c>
      <c r="P54" s="102">
        <f t="shared" si="10"/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f t="shared" si="11"/>
        <v>0</v>
      </c>
      <c r="V54" s="102">
        <f t="shared" si="12"/>
        <v>222930.74000000002</v>
      </c>
      <c r="W54" s="190">
        <v>0</v>
      </c>
      <c r="X54" s="190">
        <f t="shared" si="13"/>
        <v>222930.74000000002</v>
      </c>
      <c r="Y54" s="190">
        <v>0</v>
      </c>
      <c r="Z54" s="190">
        <f t="shared" si="14"/>
        <v>222930.74000000002</v>
      </c>
      <c r="AA54" s="213"/>
    </row>
    <row r="55" spans="1:26" ht="12.75" hidden="1" outlineLevel="1">
      <c r="A55" s="172" t="s">
        <v>2017</v>
      </c>
      <c r="C55" s="173" t="s">
        <v>2018</v>
      </c>
      <c r="D55" s="173" t="s">
        <v>2019</v>
      </c>
      <c r="E55" s="172">
        <v>0</v>
      </c>
      <c r="F55" s="172">
        <v>0</v>
      </c>
      <c r="G55" s="221">
        <f t="shared" si="8"/>
        <v>0</v>
      </c>
      <c r="H55" s="222">
        <v>3532.61</v>
      </c>
      <c r="I55" s="222">
        <v>0</v>
      </c>
      <c r="J55" s="222">
        <v>0</v>
      </c>
      <c r="K55" s="222">
        <v>0</v>
      </c>
      <c r="L55" s="222">
        <f t="shared" si="9"/>
        <v>0</v>
      </c>
      <c r="M55" s="222">
        <v>0</v>
      </c>
      <c r="N55" s="222">
        <v>0</v>
      </c>
      <c r="O55" s="222">
        <v>0</v>
      </c>
      <c r="P55" s="222">
        <f t="shared" si="10"/>
        <v>0</v>
      </c>
      <c r="Q55" s="221">
        <v>0</v>
      </c>
      <c r="R55" s="221">
        <v>0</v>
      </c>
      <c r="S55" s="221">
        <v>0</v>
      </c>
      <c r="T55" s="221">
        <v>0</v>
      </c>
      <c r="U55" s="221">
        <f t="shared" si="11"/>
        <v>0</v>
      </c>
      <c r="V55" s="221">
        <f t="shared" si="12"/>
        <v>3532.61</v>
      </c>
      <c r="W55" s="172">
        <v>0</v>
      </c>
      <c r="X55" s="172">
        <f t="shared" si="13"/>
        <v>3532.61</v>
      </c>
      <c r="Y55" s="173">
        <v>0</v>
      </c>
      <c r="Z55" s="172">
        <f t="shared" si="14"/>
        <v>3532.61</v>
      </c>
    </row>
    <row r="56" spans="1:26" ht="12.75" hidden="1" outlineLevel="1">
      <c r="A56" s="172" t="s">
        <v>2020</v>
      </c>
      <c r="C56" s="173" t="s">
        <v>2021</v>
      </c>
      <c r="D56" s="173" t="s">
        <v>2022</v>
      </c>
      <c r="E56" s="172">
        <v>0</v>
      </c>
      <c r="F56" s="172">
        <v>0</v>
      </c>
      <c r="G56" s="221">
        <f t="shared" si="8"/>
        <v>0</v>
      </c>
      <c r="H56" s="222">
        <v>1695.03</v>
      </c>
      <c r="I56" s="222">
        <v>0</v>
      </c>
      <c r="J56" s="222">
        <v>0</v>
      </c>
      <c r="K56" s="222">
        <v>0</v>
      </c>
      <c r="L56" s="222">
        <f t="shared" si="9"/>
        <v>0</v>
      </c>
      <c r="M56" s="222">
        <v>0</v>
      </c>
      <c r="N56" s="222">
        <v>0</v>
      </c>
      <c r="O56" s="222">
        <v>0</v>
      </c>
      <c r="P56" s="222">
        <f t="shared" si="10"/>
        <v>0</v>
      </c>
      <c r="Q56" s="221">
        <v>0</v>
      </c>
      <c r="R56" s="221">
        <v>0</v>
      </c>
      <c r="S56" s="221">
        <v>0</v>
      </c>
      <c r="T56" s="221">
        <v>0</v>
      </c>
      <c r="U56" s="221">
        <f t="shared" si="11"/>
        <v>0</v>
      </c>
      <c r="V56" s="221">
        <f t="shared" si="12"/>
        <v>1695.03</v>
      </c>
      <c r="W56" s="172">
        <v>0</v>
      </c>
      <c r="X56" s="172">
        <f t="shared" si="13"/>
        <v>1695.03</v>
      </c>
      <c r="Y56" s="173">
        <v>0</v>
      </c>
      <c r="Z56" s="172">
        <f t="shared" si="14"/>
        <v>1695.03</v>
      </c>
    </row>
    <row r="57" spans="1:26" ht="12.75" hidden="1" outlineLevel="1">
      <c r="A57" s="172" t="s">
        <v>2023</v>
      </c>
      <c r="C57" s="173" t="s">
        <v>2024</v>
      </c>
      <c r="D57" s="173" t="s">
        <v>2025</v>
      </c>
      <c r="E57" s="172">
        <v>-13017.24</v>
      </c>
      <c r="F57" s="172">
        <v>0</v>
      </c>
      <c r="G57" s="221">
        <f t="shared" si="8"/>
        <v>-13017.24</v>
      </c>
      <c r="H57" s="222">
        <v>219387.7</v>
      </c>
      <c r="I57" s="222">
        <v>0</v>
      </c>
      <c r="J57" s="222">
        <v>0</v>
      </c>
      <c r="K57" s="222">
        <v>0</v>
      </c>
      <c r="L57" s="222">
        <f t="shared" si="9"/>
        <v>0</v>
      </c>
      <c r="M57" s="222">
        <v>0</v>
      </c>
      <c r="N57" s="222">
        <v>0</v>
      </c>
      <c r="O57" s="222">
        <v>0</v>
      </c>
      <c r="P57" s="222">
        <f t="shared" si="10"/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f t="shared" si="11"/>
        <v>0</v>
      </c>
      <c r="V57" s="221">
        <f t="shared" si="12"/>
        <v>206370.46000000002</v>
      </c>
      <c r="W57" s="172">
        <v>0</v>
      </c>
      <c r="X57" s="172">
        <f t="shared" si="13"/>
        <v>206370.46000000002</v>
      </c>
      <c r="Y57" s="173">
        <v>53302066.36</v>
      </c>
      <c r="Z57" s="172">
        <f t="shared" si="14"/>
        <v>53508436.82</v>
      </c>
    </row>
    <row r="58" spans="1:26" ht="12.75" hidden="1" outlineLevel="1">
      <c r="A58" s="172" t="s">
        <v>2026</v>
      </c>
      <c r="C58" s="173" t="s">
        <v>2027</v>
      </c>
      <c r="D58" s="173" t="s">
        <v>2028</v>
      </c>
      <c r="E58" s="172">
        <v>0</v>
      </c>
      <c r="F58" s="172">
        <v>0</v>
      </c>
      <c r="G58" s="221">
        <f t="shared" si="8"/>
        <v>0</v>
      </c>
      <c r="H58" s="222">
        <v>-2206458.17</v>
      </c>
      <c r="I58" s="222">
        <v>0</v>
      </c>
      <c r="J58" s="222">
        <v>0</v>
      </c>
      <c r="K58" s="222">
        <v>0</v>
      </c>
      <c r="L58" s="222">
        <f t="shared" si="9"/>
        <v>0</v>
      </c>
      <c r="M58" s="222">
        <v>0</v>
      </c>
      <c r="N58" s="222">
        <v>0</v>
      </c>
      <c r="O58" s="222">
        <v>0</v>
      </c>
      <c r="P58" s="222">
        <f t="shared" si="10"/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f t="shared" si="11"/>
        <v>0</v>
      </c>
      <c r="V58" s="221">
        <f t="shared" si="12"/>
        <v>-2206458.17</v>
      </c>
      <c r="W58" s="172">
        <v>0</v>
      </c>
      <c r="X58" s="172">
        <f t="shared" si="13"/>
        <v>-2206458.17</v>
      </c>
      <c r="Y58" s="173">
        <v>0</v>
      </c>
      <c r="Z58" s="172">
        <f t="shared" si="14"/>
        <v>-2206458.17</v>
      </c>
    </row>
    <row r="59" spans="1:26" ht="12.75" hidden="1" outlineLevel="1">
      <c r="A59" s="172" t="s">
        <v>2029</v>
      </c>
      <c r="C59" s="173" t="s">
        <v>2030</v>
      </c>
      <c r="D59" s="173" t="s">
        <v>2031</v>
      </c>
      <c r="E59" s="172">
        <v>0</v>
      </c>
      <c r="F59" s="172">
        <v>0</v>
      </c>
      <c r="G59" s="221">
        <f t="shared" si="8"/>
        <v>0</v>
      </c>
      <c r="H59" s="222">
        <v>43876.87</v>
      </c>
      <c r="I59" s="222">
        <v>0</v>
      </c>
      <c r="J59" s="222">
        <v>0</v>
      </c>
      <c r="K59" s="222">
        <v>0</v>
      </c>
      <c r="L59" s="222">
        <f t="shared" si="9"/>
        <v>0</v>
      </c>
      <c r="M59" s="222">
        <v>0</v>
      </c>
      <c r="N59" s="222">
        <v>0</v>
      </c>
      <c r="O59" s="222">
        <v>0</v>
      </c>
      <c r="P59" s="222">
        <f t="shared" si="10"/>
        <v>0</v>
      </c>
      <c r="Q59" s="221">
        <v>0</v>
      </c>
      <c r="R59" s="221">
        <v>0</v>
      </c>
      <c r="S59" s="221">
        <v>0</v>
      </c>
      <c r="T59" s="221">
        <v>0</v>
      </c>
      <c r="U59" s="221">
        <f t="shared" si="11"/>
        <v>0</v>
      </c>
      <c r="V59" s="221">
        <f t="shared" si="12"/>
        <v>43876.87</v>
      </c>
      <c r="W59" s="172">
        <v>0</v>
      </c>
      <c r="X59" s="172">
        <f t="shared" si="13"/>
        <v>43876.87</v>
      </c>
      <c r="Y59" s="173">
        <v>0</v>
      </c>
      <c r="Z59" s="172">
        <f t="shared" si="14"/>
        <v>43876.87</v>
      </c>
    </row>
    <row r="60" spans="1:27" ht="12.75" collapsed="1">
      <c r="A60" s="213" t="s">
        <v>2032</v>
      </c>
      <c r="B60" s="214"/>
      <c r="C60" s="213" t="s">
        <v>1555</v>
      </c>
      <c r="D60" s="215"/>
      <c r="E60" s="190">
        <v>-13017.24</v>
      </c>
      <c r="F60" s="190">
        <v>4587076.37</v>
      </c>
      <c r="G60" s="102">
        <f t="shared" si="8"/>
        <v>4574059.13</v>
      </c>
      <c r="H60" s="102">
        <v>-1937965.96</v>
      </c>
      <c r="I60" s="102">
        <v>0</v>
      </c>
      <c r="J60" s="102">
        <v>0</v>
      </c>
      <c r="K60" s="102">
        <v>0</v>
      </c>
      <c r="L60" s="102">
        <f t="shared" si="9"/>
        <v>0</v>
      </c>
      <c r="M60" s="102">
        <v>0</v>
      </c>
      <c r="N60" s="102">
        <v>0</v>
      </c>
      <c r="O60" s="102">
        <v>0</v>
      </c>
      <c r="P60" s="102">
        <f t="shared" si="10"/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f t="shared" si="11"/>
        <v>0</v>
      </c>
      <c r="V60" s="102">
        <f t="shared" si="12"/>
        <v>2636093.17</v>
      </c>
      <c r="W60" s="190">
        <v>0</v>
      </c>
      <c r="X60" s="190">
        <f t="shared" si="13"/>
        <v>2636093.17</v>
      </c>
      <c r="Y60" s="190">
        <v>53302066.36</v>
      </c>
      <c r="Z60" s="190">
        <f t="shared" si="14"/>
        <v>55938159.53</v>
      </c>
      <c r="AA60" s="213"/>
    </row>
    <row r="61" spans="1:27" ht="15.75">
      <c r="A61" s="223"/>
      <c r="B61" s="219"/>
      <c r="C61" s="212" t="s">
        <v>1556</v>
      </c>
      <c r="D61" s="65"/>
      <c r="E61" s="152">
        <f aca="true" t="shared" si="15" ref="E61:T61">+E27+E29+E30+E31+E32+E34+E35+E36+E37+E38+E54+E60</f>
        <v>-13017.24</v>
      </c>
      <c r="F61" s="152">
        <f t="shared" si="15"/>
        <v>94494832.82000001</v>
      </c>
      <c r="G61" s="104">
        <f t="shared" si="15"/>
        <v>94481815.58</v>
      </c>
      <c r="H61" s="104">
        <f t="shared" si="15"/>
        <v>11154536.27</v>
      </c>
      <c r="I61" s="104">
        <f t="shared" si="15"/>
        <v>18923.85</v>
      </c>
      <c r="J61" s="104">
        <f t="shared" si="15"/>
        <v>0</v>
      </c>
      <c r="K61" s="104">
        <f t="shared" si="15"/>
        <v>261824.89</v>
      </c>
      <c r="L61" s="104">
        <f t="shared" si="15"/>
        <v>280748.74</v>
      </c>
      <c r="M61" s="104">
        <f t="shared" si="15"/>
        <v>0</v>
      </c>
      <c r="N61" s="104">
        <f t="shared" si="15"/>
        <v>0</v>
      </c>
      <c r="O61" s="104">
        <f t="shared" si="15"/>
        <v>0</v>
      </c>
      <c r="P61" s="104">
        <f t="shared" si="15"/>
        <v>0</v>
      </c>
      <c r="Q61" s="104">
        <f t="shared" si="15"/>
        <v>0</v>
      </c>
      <c r="R61" s="104">
        <f t="shared" si="15"/>
        <v>0</v>
      </c>
      <c r="S61" s="104">
        <f t="shared" si="15"/>
        <v>0</v>
      </c>
      <c r="T61" s="104">
        <f t="shared" si="15"/>
        <v>0</v>
      </c>
      <c r="U61" s="104">
        <f>+U27+U32+U34+U35+U36+U37+U38+U54+U60</f>
        <v>0</v>
      </c>
      <c r="V61" s="104">
        <f>+V27+V29+V30+V31+V32+V34+V35+V36+V37+V38+V54+V60</f>
        <v>105917100.59000002</v>
      </c>
      <c r="W61" s="152">
        <f>+W27+W29+W30+W31+W32+W34+W35+W36+W37+W38+W54+W60</f>
        <v>0</v>
      </c>
      <c r="X61" s="152">
        <f>+X27+X29+X30+X31+X32+X34+X35+X36+X37+X38+X54+X60</f>
        <v>105917100.59000002</v>
      </c>
      <c r="Y61" s="152">
        <f>+Y27+Y29+Y30+Y31+Y32+Y34+Y35+Y36+Y37+Y38+Y54+Y60</f>
        <v>51437529.99</v>
      </c>
      <c r="Z61" s="152">
        <f>+Z27+Z29+Z30+Z31+Z32+Z34+Z35+Z36+Z37+Z38+Z54+Z60</f>
        <v>157354630.58</v>
      </c>
      <c r="AA61" s="211"/>
    </row>
    <row r="62" spans="2:26" ht="12.75">
      <c r="B62" s="214"/>
      <c r="C62" s="213"/>
      <c r="D62" s="215"/>
      <c r="E62" s="190"/>
      <c r="F62" s="190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90"/>
      <c r="X62" s="190"/>
      <c r="Y62" s="190"/>
      <c r="Z62" s="190"/>
    </row>
    <row r="63" spans="1:27" ht="15">
      <c r="A63" s="211"/>
      <c r="B63" s="219" t="s">
        <v>1557</v>
      </c>
      <c r="C63" s="220"/>
      <c r="D63" s="74"/>
      <c r="E63" s="190"/>
      <c r="F63" s="190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90"/>
      <c r="X63" s="190"/>
      <c r="Y63" s="190"/>
      <c r="Z63" s="190"/>
      <c r="AA63" s="211"/>
    </row>
    <row r="64" spans="1:26" ht="12.75" hidden="1" outlineLevel="1">
      <c r="A64" s="172" t="s">
        <v>2033</v>
      </c>
      <c r="C64" s="173" t="s">
        <v>2034</v>
      </c>
      <c r="D64" s="173" t="s">
        <v>2035</v>
      </c>
      <c r="E64" s="172">
        <v>0</v>
      </c>
      <c r="F64" s="172">
        <v>21493450.68</v>
      </c>
      <c r="G64" s="221">
        <f aca="true" t="shared" si="16" ref="G64:G127">E64+F64</f>
        <v>21493450.68</v>
      </c>
      <c r="H64" s="222">
        <v>827509.39</v>
      </c>
      <c r="I64" s="222">
        <v>0</v>
      </c>
      <c r="J64" s="222">
        <v>0</v>
      </c>
      <c r="K64" s="222">
        <v>0</v>
      </c>
      <c r="L64" s="222">
        <f aca="true" t="shared" si="17" ref="L64:L127">J64+I64+K64</f>
        <v>0</v>
      </c>
      <c r="M64" s="222">
        <v>0</v>
      </c>
      <c r="N64" s="222">
        <v>0</v>
      </c>
      <c r="O64" s="222">
        <v>0</v>
      </c>
      <c r="P64" s="222">
        <f aca="true" t="shared" si="18" ref="P64:P127">M64+N64+O64</f>
        <v>0</v>
      </c>
      <c r="Q64" s="221">
        <v>0</v>
      </c>
      <c r="R64" s="221">
        <v>0</v>
      </c>
      <c r="S64" s="221">
        <v>0</v>
      </c>
      <c r="T64" s="221">
        <v>0</v>
      </c>
      <c r="U64" s="221">
        <f aca="true" t="shared" si="19" ref="U64:U127">Q64+R64+S64+T64</f>
        <v>0</v>
      </c>
      <c r="V64" s="221">
        <f aca="true" t="shared" si="20" ref="V64:V127">G64+H64+L64+P64+U64</f>
        <v>22320960.07</v>
      </c>
      <c r="W64" s="172">
        <v>0</v>
      </c>
      <c r="X64" s="172">
        <f aca="true" t="shared" si="21" ref="X64:X127">V64+W64</f>
        <v>22320960.07</v>
      </c>
      <c r="Y64" s="173">
        <v>0</v>
      </c>
      <c r="Z64" s="172">
        <f aca="true" t="shared" si="22" ref="Z64:Z127">X64+Y64</f>
        <v>22320960.07</v>
      </c>
    </row>
    <row r="65" spans="1:26" ht="12.75" hidden="1" outlineLevel="1">
      <c r="A65" s="172" t="s">
        <v>2036</v>
      </c>
      <c r="C65" s="173" t="s">
        <v>2037</v>
      </c>
      <c r="D65" s="173" t="s">
        <v>2038</v>
      </c>
      <c r="E65" s="172">
        <v>0</v>
      </c>
      <c r="F65" s="172">
        <v>4653988.43</v>
      </c>
      <c r="G65" s="221">
        <f t="shared" si="16"/>
        <v>4653988.43</v>
      </c>
      <c r="H65" s="222">
        <v>448137.79</v>
      </c>
      <c r="I65" s="222">
        <v>0</v>
      </c>
      <c r="J65" s="222">
        <v>0</v>
      </c>
      <c r="K65" s="222">
        <v>0</v>
      </c>
      <c r="L65" s="222">
        <f t="shared" si="17"/>
        <v>0</v>
      </c>
      <c r="M65" s="222">
        <v>0</v>
      </c>
      <c r="N65" s="222">
        <v>0</v>
      </c>
      <c r="O65" s="222">
        <v>0</v>
      </c>
      <c r="P65" s="222">
        <f t="shared" si="18"/>
        <v>0</v>
      </c>
      <c r="Q65" s="221">
        <v>0</v>
      </c>
      <c r="R65" s="221">
        <v>0</v>
      </c>
      <c r="S65" s="221">
        <v>0</v>
      </c>
      <c r="T65" s="221">
        <v>0</v>
      </c>
      <c r="U65" s="221">
        <f t="shared" si="19"/>
        <v>0</v>
      </c>
      <c r="V65" s="221">
        <f t="shared" si="20"/>
        <v>5102126.22</v>
      </c>
      <c r="W65" s="172">
        <v>0</v>
      </c>
      <c r="X65" s="172">
        <f t="shared" si="21"/>
        <v>5102126.22</v>
      </c>
      <c r="Y65" s="173">
        <v>0</v>
      </c>
      <c r="Z65" s="172">
        <f t="shared" si="22"/>
        <v>5102126.22</v>
      </c>
    </row>
    <row r="66" spans="1:26" ht="12.75" hidden="1" outlineLevel="1">
      <c r="A66" s="172" t="s">
        <v>2039</v>
      </c>
      <c r="C66" s="173" t="s">
        <v>2040</v>
      </c>
      <c r="D66" s="173" t="s">
        <v>2041</v>
      </c>
      <c r="E66" s="172">
        <v>0</v>
      </c>
      <c r="F66" s="172">
        <v>8860854.9</v>
      </c>
      <c r="G66" s="221">
        <f t="shared" si="16"/>
        <v>8860854.9</v>
      </c>
      <c r="H66" s="222">
        <v>2349999.45</v>
      </c>
      <c r="I66" s="222">
        <v>0</v>
      </c>
      <c r="J66" s="222">
        <v>0</v>
      </c>
      <c r="K66" s="222">
        <v>0</v>
      </c>
      <c r="L66" s="222">
        <f t="shared" si="17"/>
        <v>0</v>
      </c>
      <c r="M66" s="222">
        <v>0</v>
      </c>
      <c r="N66" s="222">
        <v>0</v>
      </c>
      <c r="O66" s="222">
        <v>0</v>
      </c>
      <c r="P66" s="222">
        <f t="shared" si="18"/>
        <v>0</v>
      </c>
      <c r="Q66" s="221">
        <v>0</v>
      </c>
      <c r="R66" s="221">
        <v>0</v>
      </c>
      <c r="S66" s="221">
        <v>0</v>
      </c>
      <c r="T66" s="221">
        <v>0</v>
      </c>
      <c r="U66" s="221">
        <f t="shared" si="19"/>
        <v>0</v>
      </c>
      <c r="V66" s="221">
        <f t="shared" si="20"/>
        <v>11210854.350000001</v>
      </c>
      <c r="W66" s="172">
        <v>0</v>
      </c>
      <c r="X66" s="172">
        <f t="shared" si="21"/>
        <v>11210854.350000001</v>
      </c>
      <c r="Y66" s="173">
        <v>0</v>
      </c>
      <c r="Z66" s="172">
        <f t="shared" si="22"/>
        <v>11210854.350000001</v>
      </c>
    </row>
    <row r="67" spans="1:26" ht="12.75" hidden="1" outlineLevel="1">
      <c r="A67" s="172" t="s">
        <v>2042</v>
      </c>
      <c r="C67" s="173" t="s">
        <v>2043</v>
      </c>
      <c r="D67" s="173" t="s">
        <v>2044</v>
      </c>
      <c r="E67" s="172">
        <v>0</v>
      </c>
      <c r="F67" s="172">
        <v>2351680.72</v>
      </c>
      <c r="G67" s="221">
        <f t="shared" si="16"/>
        <v>2351680.72</v>
      </c>
      <c r="H67" s="222">
        <v>874554.4</v>
      </c>
      <c r="I67" s="222">
        <v>0</v>
      </c>
      <c r="J67" s="222">
        <v>0</v>
      </c>
      <c r="K67" s="222">
        <v>0</v>
      </c>
      <c r="L67" s="222">
        <f t="shared" si="17"/>
        <v>0</v>
      </c>
      <c r="M67" s="222">
        <v>0</v>
      </c>
      <c r="N67" s="222">
        <v>0</v>
      </c>
      <c r="O67" s="222">
        <v>0</v>
      </c>
      <c r="P67" s="222">
        <f t="shared" si="18"/>
        <v>0</v>
      </c>
      <c r="Q67" s="221">
        <v>0</v>
      </c>
      <c r="R67" s="221">
        <v>0</v>
      </c>
      <c r="S67" s="221">
        <v>0</v>
      </c>
      <c r="T67" s="221">
        <v>0</v>
      </c>
      <c r="U67" s="221">
        <f t="shared" si="19"/>
        <v>0</v>
      </c>
      <c r="V67" s="221">
        <f t="shared" si="20"/>
        <v>3226235.12</v>
      </c>
      <c r="W67" s="172">
        <v>0</v>
      </c>
      <c r="X67" s="172">
        <f t="shared" si="21"/>
        <v>3226235.12</v>
      </c>
      <c r="Y67" s="173">
        <v>0</v>
      </c>
      <c r="Z67" s="172">
        <f t="shared" si="22"/>
        <v>3226235.12</v>
      </c>
    </row>
    <row r="68" spans="1:26" ht="12.75" hidden="1" outlineLevel="1">
      <c r="A68" s="172" t="s">
        <v>2045</v>
      </c>
      <c r="C68" s="173" t="s">
        <v>2046</v>
      </c>
      <c r="D68" s="173" t="s">
        <v>2047</v>
      </c>
      <c r="E68" s="172">
        <v>0</v>
      </c>
      <c r="F68" s="172">
        <v>12637823.37</v>
      </c>
      <c r="G68" s="221">
        <f t="shared" si="16"/>
        <v>12637823.37</v>
      </c>
      <c r="H68" s="222">
        <v>998839.05</v>
      </c>
      <c r="I68" s="222">
        <v>0</v>
      </c>
      <c r="J68" s="222">
        <v>0</v>
      </c>
      <c r="K68" s="222">
        <v>0</v>
      </c>
      <c r="L68" s="222">
        <f t="shared" si="17"/>
        <v>0</v>
      </c>
      <c r="M68" s="222">
        <v>0</v>
      </c>
      <c r="N68" s="222">
        <v>0</v>
      </c>
      <c r="O68" s="222">
        <v>0</v>
      </c>
      <c r="P68" s="222">
        <f t="shared" si="18"/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f t="shared" si="19"/>
        <v>0</v>
      </c>
      <c r="V68" s="221">
        <f t="shared" si="20"/>
        <v>13636662.42</v>
      </c>
      <c r="W68" s="172">
        <v>0</v>
      </c>
      <c r="X68" s="172">
        <f t="shared" si="21"/>
        <v>13636662.42</v>
      </c>
      <c r="Y68" s="173">
        <v>0</v>
      </c>
      <c r="Z68" s="172">
        <f t="shared" si="22"/>
        <v>13636662.42</v>
      </c>
    </row>
    <row r="69" spans="1:26" ht="12.75" hidden="1" outlineLevel="1">
      <c r="A69" s="172" t="s">
        <v>2048</v>
      </c>
      <c r="C69" s="173" t="s">
        <v>2049</v>
      </c>
      <c r="D69" s="173" t="s">
        <v>2050</v>
      </c>
      <c r="E69" s="172">
        <v>0</v>
      </c>
      <c r="F69" s="172">
        <v>9789795.040000001</v>
      </c>
      <c r="G69" s="221">
        <f t="shared" si="16"/>
        <v>9789795.040000001</v>
      </c>
      <c r="H69" s="222">
        <v>2589037.29</v>
      </c>
      <c r="I69" s="222">
        <v>0</v>
      </c>
      <c r="J69" s="222">
        <v>0</v>
      </c>
      <c r="K69" s="222">
        <v>0</v>
      </c>
      <c r="L69" s="222">
        <f t="shared" si="17"/>
        <v>0</v>
      </c>
      <c r="M69" s="222">
        <v>0</v>
      </c>
      <c r="N69" s="222">
        <v>0</v>
      </c>
      <c r="O69" s="222">
        <v>0</v>
      </c>
      <c r="P69" s="222">
        <f t="shared" si="18"/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f t="shared" si="19"/>
        <v>0</v>
      </c>
      <c r="V69" s="221">
        <f t="shared" si="20"/>
        <v>12378832.330000002</v>
      </c>
      <c r="W69" s="172">
        <v>0</v>
      </c>
      <c r="X69" s="172">
        <f t="shared" si="21"/>
        <v>12378832.330000002</v>
      </c>
      <c r="Y69" s="173">
        <v>0</v>
      </c>
      <c r="Z69" s="172">
        <f t="shared" si="22"/>
        <v>12378832.330000002</v>
      </c>
    </row>
    <row r="70" spans="1:26" ht="12.75" hidden="1" outlineLevel="1">
      <c r="A70" s="172" t="s">
        <v>2051</v>
      </c>
      <c r="C70" s="173" t="s">
        <v>2052</v>
      </c>
      <c r="D70" s="173" t="s">
        <v>2053</v>
      </c>
      <c r="E70" s="172">
        <v>0</v>
      </c>
      <c r="F70" s="172">
        <v>1413804.29</v>
      </c>
      <c r="G70" s="221">
        <f t="shared" si="16"/>
        <v>1413804.29</v>
      </c>
      <c r="H70" s="222">
        <v>54147.63</v>
      </c>
      <c r="I70" s="222">
        <v>0</v>
      </c>
      <c r="J70" s="222">
        <v>0</v>
      </c>
      <c r="K70" s="222">
        <v>0</v>
      </c>
      <c r="L70" s="222">
        <f t="shared" si="17"/>
        <v>0</v>
      </c>
      <c r="M70" s="222">
        <v>0</v>
      </c>
      <c r="N70" s="222">
        <v>0</v>
      </c>
      <c r="O70" s="222">
        <v>0</v>
      </c>
      <c r="P70" s="222">
        <f t="shared" si="18"/>
        <v>0</v>
      </c>
      <c r="Q70" s="221">
        <v>0</v>
      </c>
      <c r="R70" s="221">
        <v>0</v>
      </c>
      <c r="S70" s="221">
        <v>0</v>
      </c>
      <c r="T70" s="221">
        <v>0</v>
      </c>
      <c r="U70" s="221">
        <f t="shared" si="19"/>
        <v>0</v>
      </c>
      <c r="V70" s="221">
        <f t="shared" si="20"/>
        <v>1467951.92</v>
      </c>
      <c r="W70" s="172">
        <v>0</v>
      </c>
      <c r="X70" s="172">
        <f t="shared" si="21"/>
        <v>1467951.92</v>
      </c>
      <c r="Y70" s="173">
        <v>0</v>
      </c>
      <c r="Z70" s="172">
        <f t="shared" si="22"/>
        <v>1467951.92</v>
      </c>
    </row>
    <row r="71" spans="1:26" ht="12.75" hidden="1" outlineLevel="1">
      <c r="A71" s="172" t="s">
        <v>2054</v>
      </c>
      <c r="C71" s="173" t="s">
        <v>2055</v>
      </c>
      <c r="D71" s="173" t="s">
        <v>2056</v>
      </c>
      <c r="E71" s="172">
        <v>0</v>
      </c>
      <c r="F71" s="172">
        <v>5727348.57</v>
      </c>
      <c r="G71" s="221">
        <f t="shared" si="16"/>
        <v>5727348.57</v>
      </c>
      <c r="H71" s="222">
        <v>595773.86</v>
      </c>
      <c r="I71" s="222">
        <v>0</v>
      </c>
      <c r="J71" s="222">
        <v>0</v>
      </c>
      <c r="K71" s="222">
        <v>0</v>
      </c>
      <c r="L71" s="222">
        <f t="shared" si="17"/>
        <v>0</v>
      </c>
      <c r="M71" s="222">
        <v>0</v>
      </c>
      <c r="N71" s="222">
        <v>0</v>
      </c>
      <c r="O71" s="222">
        <v>0</v>
      </c>
      <c r="P71" s="222">
        <f t="shared" si="18"/>
        <v>0</v>
      </c>
      <c r="Q71" s="221">
        <v>0</v>
      </c>
      <c r="R71" s="221">
        <v>0</v>
      </c>
      <c r="S71" s="221">
        <v>0</v>
      </c>
      <c r="T71" s="221">
        <v>0</v>
      </c>
      <c r="U71" s="221">
        <f t="shared" si="19"/>
        <v>0</v>
      </c>
      <c r="V71" s="221">
        <f t="shared" si="20"/>
        <v>6323122.430000001</v>
      </c>
      <c r="W71" s="172">
        <v>0</v>
      </c>
      <c r="X71" s="172">
        <f t="shared" si="21"/>
        <v>6323122.430000001</v>
      </c>
      <c r="Y71" s="173">
        <v>0</v>
      </c>
      <c r="Z71" s="172">
        <f t="shared" si="22"/>
        <v>6323122.430000001</v>
      </c>
    </row>
    <row r="72" spans="1:26" ht="12.75" hidden="1" outlineLevel="1">
      <c r="A72" s="172" t="s">
        <v>2057</v>
      </c>
      <c r="C72" s="173" t="s">
        <v>2058</v>
      </c>
      <c r="D72" s="173" t="s">
        <v>2059</v>
      </c>
      <c r="E72" s="172">
        <v>0</v>
      </c>
      <c r="F72" s="172">
        <v>1762030.94</v>
      </c>
      <c r="G72" s="221">
        <f t="shared" si="16"/>
        <v>1762030.94</v>
      </c>
      <c r="H72" s="222">
        <v>0</v>
      </c>
      <c r="I72" s="222">
        <v>0</v>
      </c>
      <c r="J72" s="222">
        <v>0</v>
      </c>
      <c r="K72" s="222">
        <v>0</v>
      </c>
      <c r="L72" s="222">
        <f t="shared" si="17"/>
        <v>0</v>
      </c>
      <c r="M72" s="222">
        <v>0</v>
      </c>
      <c r="N72" s="222">
        <v>0</v>
      </c>
      <c r="O72" s="222">
        <v>0</v>
      </c>
      <c r="P72" s="222">
        <f t="shared" si="18"/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f t="shared" si="19"/>
        <v>0</v>
      </c>
      <c r="V72" s="221">
        <f t="shared" si="20"/>
        <v>1762030.94</v>
      </c>
      <c r="W72" s="172">
        <v>0</v>
      </c>
      <c r="X72" s="172">
        <f t="shared" si="21"/>
        <v>1762030.94</v>
      </c>
      <c r="Y72" s="173">
        <v>0</v>
      </c>
      <c r="Z72" s="172">
        <f t="shared" si="22"/>
        <v>1762030.94</v>
      </c>
    </row>
    <row r="73" spans="1:26" ht="12.75" hidden="1" outlineLevel="1">
      <c r="A73" s="172" t="s">
        <v>2060</v>
      </c>
      <c r="C73" s="173" t="s">
        <v>2061</v>
      </c>
      <c r="D73" s="173" t="s">
        <v>2062</v>
      </c>
      <c r="E73" s="172">
        <v>0</v>
      </c>
      <c r="F73" s="172">
        <v>3379710.94</v>
      </c>
      <c r="G73" s="221">
        <f t="shared" si="16"/>
        <v>3379710.94</v>
      </c>
      <c r="H73" s="222">
        <v>29544.41</v>
      </c>
      <c r="I73" s="222">
        <v>0</v>
      </c>
      <c r="J73" s="222">
        <v>0</v>
      </c>
      <c r="K73" s="222">
        <v>0</v>
      </c>
      <c r="L73" s="222">
        <f t="shared" si="17"/>
        <v>0</v>
      </c>
      <c r="M73" s="222">
        <v>0</v>
      </c>
      <c r="N73" s="222">
        <v>0</v>
      </c>
      <c r="O73" s="222">
        <v>0</v>
      </c>
      <c r="P73" s="222">
        <f t="shared" si="18"/>
        <v>0</v>
      </c>
      <c r="Q73" s="221">
        <v>0</v>
      </c>
      <c r="R73" s="221">
        <v>0</v>
      </c>
      <c r="S73" s="221">
        <v>0</v>
      </c>
      <c r="T73" s="221">
        <v>0</v>
      </c>
      <c r="U73" s="221">
        <f t="shared" si="19"/>
        <v>0</v>
      </c>
      <c r="V73" s="221">
        <f t="shared" si="20"/>
        <v>3409255.35</v>
      </c>
      <c r="W73" s="172">
        <v>0</v>
      </c>
      <c r="X73" s="172">
        <f t="shared" si="21"/>
        <v>3409255.35</v>
      </c>
      <c r="Y73" s="173">
        <v>0</v>
      </c>
      <c r="Z73" s="172">
        <f t="shared" si="22"/>
        <v>3409255.35</v>
      </c>
    </row>
    <row r="74" spans="1:26" ht="12.75" hidden="1" outlineLevel="1">
      <c r="A74" s="172" t="s">
        <v>2063</v>
      </c>
      <c r="C74" s="173" t="s">
        <v>2064</v>
      </c>
      <c r="D74" s="173" t="s">
        <v>2065</v>
      </c>
      <c r="E74" s="172">
        <v>0</v>
      </c>
      <c r="F74" s="172">
        <v>1361025.93</v>
      </c>
      <c r="G74" s="221">
        <f t="shared" si="16"/>
        <v>1361025.93</v>
      </c>
      <c r="H74" s="222">
        <v>602821.06</v>
      </c>
      <c r="I74" s="222">
        <v>0</v>
      </c>
      <c r="J74" s="222">
        <v>0</v>
      </c>
      <c r="K74" s="222">
        <v>0</v>
      </c>
      <c r="L74" s="222">
        <f t="shared" si="17"/>
        <v>0</v>
      </c>
      <c r="M74" s="222">
        <v>0</v>
      </c>
      <c r="N74" s="222">
        <v>0</v>
      </c>
      <c r="O74" s="222">
        <v>0</v>
      </c>
      <c r="P74" s="222">
        <f t="shared" si="18"/>
        <v>0</v>
      </c>
      <c r="Q74" s="221">
        <v>0</v>
      </c>
      <c r="R74" s="221">
        <v>0</v>
      </c>
      <c r="S74" s="221">
        <v>0</v>
      </c>
      <c r="T74" s="221">
        <v>0</v>
      </c>
      <c r="U74" s="221">
        <f t="shared" si="19"/>
        <v>0</v>
      </c>
      <c r="V74" s="221">
        <f t="shared" si="20"/>
        <v>1963846.99</v>
      </c>
      <c r="W74" s="172">
        <v>0</v>
      </c>
      <c r="X74" s="172">
        <f t="shared" si="21"/>
        <v>1963846.99</v>
      </c>
      <c r="Y74" s="173">
        <v>0</v>
      </c>
      <c r="Z74" s="172">
        <f t="shared" si="22"/>
        <v>1963846.99</v>
      </c>
    </row>
    <row r="75" spans="1:26" ht="12.75" hidden="1" outlineLevel="1">
      <c r="A75" s="172" t="s">
        <v>2066</v>
      </c>
      <c r="C75" s="173" t="s">
        <v>2067</v>
      </c>
      <c r="D75" s="173" t="s">
        <v>2068</v>
      </c>
      <c r="E75" s="172">
        <v>0</v>
      </c>
      <c r="F75" s="172">
        <v>0</v>
      </c>
      <c r="G75" s="221">
        <f t="shared" si="16"/>
        <v>0</v>
      </c>
      <c r="H75" s="222">
        <v>4300</v>
      </c>
      <c r="I75" s="222">
        <v>0</v>
      </c>
      <c r="J75" s="222">
        <v>0</v>
      </c>
      <c r="K75" s="222">
        <v>0</v>
      </c>
      <c r="L75" s="222">
        <f t="shared" si="17"/>
        <v>0</v>
      </c>
      <c r="M75" s="222">
        <v>0</v>
      </c>
      <c r="N75" s="222">
        <v>0</v>
      </c>
      <c r="O75" s="222">
        <v>0</v>
      </c>
      <c r="P75" s="222">
        <f t="shared" si="18"/>
        <v>0</v>
      </c>
      <c r="Q75" s="221">
        <v>0</v>
      </c>
      <c r="R75" s="221">
        <v>0</v>
      </c>
      <c r="S75" s="221">
        <v>0</v>
      </c>
      <c r="T75" s="221">
        <v>0</v>
      </c>
      <c r="U75" s="221">
        <f t="shared" si="19"/>
        <v>0</v>
      </c>
      <c r="V75" s="221">
        <f t="shared" si="20"/>
        <v>4300</v>
      </c>
      <c r="W75" s="172">
        <v>0</v>
      </c>
      <c r="X75" s="172">
        <f t="shared" si="21"/>
        <v>4300</v>
      </c>
      <c r="Y75" s="173">
        <v>0</v>
      </c>
      <c r="Z75" s="172">
        <f t="shared" si="22"/>
        <v>4300</v>
      </c>
    </row>
    <row r="76" spans="1:26" ht="12.75" hidden="1" outlineLevel="1">
      <c r="A76" s="172" t="s">
        <v>2069</v>
      </c>
      <c r="C76" s="173" t="s">
        <v>2070</v>
      </c>
      <c r="D76" s="173" t="s">
        <v>2071</v>
      </c>
      <c r="E76" s="172">
        <v>0</v>
      </c>
      <c r="F76" s="172">
        <v>128326.29</v>
      </c>
      <c r="G76" s="221">
        <f t="shared" si="16"/>
        <v>128326.29</v>
      </c>
      <c r="H76" s="222">
        <v>1322.04</v>
      </c>
      <c r="I76" s="222">
        <v>0</v>
      </c>
      <c r="J76" s="222">
        <v>0</v>
      </c>
      <c r="K76" s="222">
        <v>0</v>
      </c>
      <c r="L76" s="222">
        <f t="shared" si="17"/>
        <v>0</v>
      </c>
      <c r="M76" s="222">
        <v>0</v>
      </c>
      <c r="N76" s="222">
        <v>0</v>
      </c>
      <c r="O76" s="222">
        <v>0</v>
      </c>
      <c r="P76" s="222">
        <f t="shared" si="18"/>
        <v>0</v>
      </c>
      <c r="Q76" s="221">
        <v>0</v>
      </c>
      <c r="R76" s="221">
        <v>0</v>
      </c>
      <c r="S76" s="221">
        <v>0</v>
      </c>
      <c r="T76" s="221">
        <v>0</v>
      </c>
      <c r="U76" s="221">
        <f t="shared" si="19"/>
        <v>0</v>
      </c>
      <c r="V76" s="221">
        <f t="shared" si="20"/>
        <v>129648.32999999999</v>
      </c>
      <c r="W76" s="172">
        <v>0</v>
      </c>
      <c r="X76" s="172">
        <f t="shared" si="21"/>
        <v>129648.32999999999</v>
      </c>
      <c r="Y76" s="173">
        <v>0</v>
      </c>
      <c r="Z76" s="172">
        <f t="shared" si="22"/>
        <v>129648.32999999999</v>
      </c>
    </row>
    <row r="77" spans="1:27" ht="12.75" collapsed="1">
      <c r="A77" s="213" t="s">
        <v>2072</v>
      </c>
      <c r="B77" s="214"/>
      <c r="C77" s="213" t="s">
        <v>1558</v>
      </c>
      <c r="D77" s="215"/>
      <c r="E77" s="190">
        <v>0</v>
      </c>
      <c r="F77" s="190">
        <v>73559840.10000001</v>
      </c>
      <c r="G77" s="102">
        <f t="shared" si="16"/>
        <v>73559840.10000001</v>
      </c>
      <c r="H77" s="102">
        <v>9375986.37</v>
      </c>
      <c r="I77" s="102">
        <v>0</v>
      </c>
      <c r="J77" s="102">
        <v>0</v>
      </c>
      <c r="K77" s="102">
        <v>0</v>
      </c>
      <c r="L77" s="102">
        <f t="shared" si="17"/>
        <v>0</v>
      </c>
      <c r="M77" s="102">
        <v>0</v>
      </c>
      <c r="N77" s="102">
        <v>0</v>
      </c>
      <c r="O77" s="102">
        <v>0</v>
      </c>
      <c r="P77" s="102">
        <f t="shared" si="18"/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f t="shared" si="19"/>
        <v>0</v>
      </c>
      <c r="V77" s="102">
        <f t="shared" si="20"/>
        <v>82935826.47000001</v>
      </c>
      <c r="W77" s="190">
        <v>0</v>
      </c>
      <c r="X77" s="190">
        <f t="shared" si="21"/>
        <v>82935826.47000001</v>
      </c>
      <c r="Y77" s="190">
        <v>0</v>
      </c>
      <c r="Z77" s="190">
        <f t="shared" si="22"/>
        <v>82935826.47000001</v>
      </c>
      <c r="AA77" s="213"/>
    </row>
    <row r="78" spans="1:26" ht="12.75" hidden="1" outlineLevel="1">
      <c r="A78" s="172" t="s">
        <v>2073</v>
      </c>
      <c r="C78" s="173" t="s">
        <v>2074</v>
      </c>
      <c r="D78" s="173" t="s">
        <v>2075</v>
      </c>
      <c r="E78" s="172">
        <v>0</v>
      </c>
      <c r="F78" s="172">
        <v>69.58</v>
      </c>
      <c r="G78" s="221">
        <f t="shared" si="16"/>
        <v>69.58</v>
      </c>
      <c r="H78" s="222">
        <v>-69.58</v>
      </c>
      <c r="I78" s="222">
        <v>0</v>
      </c>
      <c r="J78" s="222">
        <v>0</v>
      </c>
      <c r="K78" s="222">
        <v>0</v>
      </c>
      <c r="L78" s="222">
        <f t="shared" si="17"/>
        <v>0</v>
      </c>
      <c r="M78" s="222">
        <v>0</v>
      </c>
      <c r="N78" s="222">
        <v>0</v>
      </c>
      <c r="O78" s="222">
        <v>0</v>
      </c>
      <c r="P78" s="222">
        <f t="shared" si="18"/>
        <v>0</v>
      </c>
      <c r="Q78" s="221">
        <v>0</v>
      </c>
      <c r="R78" s="221">
        <v>0</v>
      </c>
      <c r="S78" s="221">
        <v>0</v>
      </c>
      <c r="T78" s="221">
        <v>0</v>
      </c>
      <c r="U78" s="221">
        <f t="shared" si="19"/>
        <v>0</v>
      </c>
      <c r="V78" s="221">
        <f t="shared" si="20"/>
        <v>0</v>
      </c>
      <c r="W78" s="172">
        <v>0</v>
      </c>
      <c r="X78" s="172">
        <f t="shared" si="21"/>
        <v>0</v>
      </c>
      <c r="Y78" s="173">
        <v>0</v>
      </c>
      <c r="Z78" s="172">
        <f t="shared" si="22"/>
        <v>0</v>
      </c>
    </row>
    <row r="79" spans="1:26" ht="12.75" hidden="1" outlineLevel="1">
      <c r="A79" s="172" t="s">
        <v>2076</v>
      </c>
      <c r="C79" s="173" t="s">
        <v>2077</v>
      </c>
      <c r="D79" s="173" t="s">
        <v>2078</v>
      </c>
      <c r="E79" s="172">
        <v>0</v>
      </c>
      <c r="F79" s="172">
        <v>5716238.47</v>
      </c>
      <c r="G79" s="221">
        <f t="shared" si="16"/>
        <v>5716238.47</v>
      </c>
      <c r="H79" s="222">
        <v>209740.8</v>
      </c>
      <c r="I79" s="222">
        <v>0</v>
      </c>
      <c r="J79" s="222">
        <v>0</v>
      </c>
      <c r="K79" s="222">
        <v>0</v>
      </c>
      <c r="L79" s="222">
        <f t="shared" si="17"/>
        <v>0</v>
      </c>
      <c r="M79" s="222">
        <v>0</v>
      </c>
      <c r="N79" s="222">
        <v>0</v>
      </c>
      <c r="O79" s="222">
        <v>0</v>
      </c>
      <c r="P79" s="222">
        <f t="shared" si="18"/>
        <v>0</v>
      </c>
      <c r="Q79" s="221">
        <v>0</v>
      </c>
      <c r="R79" s="221">
        <v>0</v>
      </c>
      <c r="S79" s="221">
        <v>0</v>
      </c>
      <c r="T79" s="221">
        <v>0</v>
      </c>
      <c r="U79" s="221">
        <f t="shared" si="19"/>
        <v>0</v>
      </c>
      <c r="V79" s="221">
        <f t="shared" si="20"/>
        <v>5925979.27</v>
      </c>
      <c r="W79" s="172">
        <v>0</v>
      </c>
      <c r="X79" s="172">
        <f t="shared" si="21"/>
        <v>5925979.27</v>
      </c>
      <c r="Y79" s="173">
        <v>0</v>
      </c>
      <c r="Z79" s="172">
        <f t="shared" si="22"/>
        <v>5925979.27</v>
      </c>
    </row>
    <row r="80" spans="1:26" ht="12.75" hidden="1" outlineLevel="1">
      <c r="A80" s="172" t="s">
        <v>2079</v>
      </c>
      <c r="C80" s="173" t="s">
        <v>2080</v>
      </c>
      <c r="D80" s="173" t="s">
        <v>2081</v>
      </c>
      <c r="E80" s="172">
        <v>0</v>
      </c>
      <c r="F80" s="172">
        <v>931072.61</v>
      </c>
      <c r="G80" s="221">
        <f t="shared" si="16"/>
        <v>931072.61</v>
      </c>
      <c r="H80" s="222">
        <v>95867.93</v>
      </c>
      <c r="I80" s="222">
        <v>0</v>
      </c>
      <c r="J80" s="222">
        <v>0</v>
      </c>
      <c r="K80" s="222">
        <v>0</v>
      </c>
      <c r="L80" s="222">
        <f t="shared" si="17"/>
        <v>0</v>
      </c>
      <c r="M80" s="222">
        <v>0</v>
      </c>
      <c r="N80" s="222">
        <v>0</v>
      </c>
      <c r="O80" s="222">
        <v>0</v>
      </c>
      <c r="P80" s="222">
        <f t="shared" si="18"/>
        <v>0</v>
      </c>
      <c r="Q80" s="221">
        <v>0</v>
      </c>
      <c r="R80" s="221">
        <v>0</v>
      </c>
      <c r="S80" s="221">
        <v>0</v>
      </c>
      <c r="T80" s="221">
        <v>0</v>
      </c>
      <c r="U80" s="221">
        <f t="shared" si="19"/>
        <v>0</v>
      </c>
      <c r="V80" s="221">
        <f t="shared" si="20"/>
        <v>1026940.54</v>
      </c>
      <c r="W80" s="172">
        <v>0</v>
      </c>
      <c r="X80" s="172">
        <f t="shared" si="21"/>
        <v>1026940.54</v>
      </c>
      <c r="Y80" s="173">
        <v>0</v>
      </c>
      <c r="Z80" s="172">
        <f t="shared" si="22"/>
        <v>1026940.54</v>
      </c>
    </row>
    <row r="81" spans="1:26" ht="12.75" hidden="1" outlineLevel="1">
      <c r="A81" s="172" t="s">
        <v>2082</v>
      </c>
      <c r="C81" s="173" t="s">
        <v>2083</v>
      </c>
      <c r="D81" s="173" t="s">
        <v>2084</v>
      </c>
      <c r="E81" s="172">
        <v>0</v>
      </c>
      <c r="F81" s="172">
        <v>1765991.85</v>
      </c>
      <c r="G81" s="221">
        <f t="shared" si="16"/>
        <v>1765991.85</v>
      </c>
      <c r="H81" s="222">
        <v>485617.9</v>
      </c>
      <c r="I81" s="222">
        <v>0</v>
      </c>
      <c r="J81" s="222">
        <v>0</v>
      </c>
      <c r="K81" s="222">
        <v>0</v>
      </c>
      <c r="L81" s="222">
        <f t="shared" si="17"/>
        <v>0</v>
      </c>
      <c r="M81" s="222">
        <v>0</v>
      </c>
      <c r="N81" s="222">
        <v>0</v>
      </c>
      <c r="O81" s="222">
        <v>0</v>
      </c>
      <c r="P81" s="222">
        <f t="shared" si="18"/>
        <v>0</v>
      </c>
      <c r="Q81" s="221">
        <v>0</v>
      </c>
      <c r="R81" s="221">
        <v>0</v>
      </c>
      <c r="S81" s="221">
        <v>0</v>
      </c>
      <c r="T81" s="221">
        <v>0</v>
      </c>
      <c r="U81" s="221">
        <f t="shared" si="19"/>
        <v>0</v>
      </c>
      <c r="V81" s="221">
        <f t="shared" si="20"/>
        <v>2251609.75</v>
      </c>
      <c r="W81" s="172">
        <v>0</v>
      </c>
      <c r="X81" s="172">
        <f t="shared" si="21"/>
        <v>2251609.75</v>
      </c>
      <c r="Y81" s="173">
        <v>0</v>
      </c>
      <c r="Z81" s="172">
        <f t="shared" si="22"/>
        <v>2251609.75</v>
      </c>
    </row>
    <row r="82" spans="1:26" ht="12.75" hidden="1" outlineLevel="1">
      <c r="A82" s="172" t="s">
        <v>2085</v>
      </c>
      <c r="C82" s="173" t="s">
        <v>2086</v>
      </c>
      <c r="D82" s="173" t="s">
        <v>2087</v>
      </c>
      <c r="E82" s="172">
        <v>0</v>
      </c>
      <c r="F82" s="172">
        <v>8516.95</v>
      </c>
      <c r="G82" s="221">
        <f t="shared" si="16"/>
        <v>8516.95</v>
      </c>
      <c r="H82" s="222">
        <v>4277.41</v>
      </c>
      <c r="I82" s="222">
        <v>0</v>
      </c>
      <c r="J82" s="222">
        <v>0</v>
      </c>
      <c r="K82" s="222">
        <v>0</v>
      </c>
      <c r="L82" s="222">
        <f t="shared" si="17"/>
        <v>0</v>
      </c>
      <c r="M82" s="222">
        <v>0</v>
      </c>
      <c r="N82" s="222">
        <v>0</v>
      </c>
      <c r="O82" s="222">
        <v>0</v>
      </c>
      <c r="P82" s="222">
        <f t="shared" si="18"/>
        <v>0</v>
      </c>
      <c r="Q82" s="221">
        <v>0</v>
      </c>
      <c r="R82" s="221">
        <v>0</v>
      </c>
      <c r="S82" s="221">
        <v>0</v>
      </c>
      <c r="T82" s="221">
        <v>0</v>
      </c>
      <c r="U82" s="221">
        <f t="shared" si="19"/>
        <v>0</v>
      </c>
      <c r="V82" s="221">
        <f t="shared" si="20"/>
        <v>12794.36</v>
      </c>
      <c r="W82" s="172">
        <v>0</v>
      </c>
      <c r="X82" s="172">
        <f t="shared" si="21"/>
        <v>12794.36</v>
      </c>
      <c r="Y82" s="173">
        <v>0</v>
      </c>
      <c r="Z82" s="172">
        <f t="shared" si="22"/>
        <v>12794.36</v>
      </c>
    </row>
    <row r="83" spans="1:26" ht="12.75" hidden="1" outlineLevel="1">
      <c r="A83" s="172" t="s">
        <v>2088</v>
      </c>
      <c r="C83" s="173" t="s">
        <v>2089</v>
      </c>
      <c r="D83" s="173" t="s">
        <v>2090</v>
      </c>
      <c r="E83" s="172">
        <v>0</v>
      </c>
      <c r="F83" s="172">
        <v>3315143.45</v>
      </c>
      <c r="G83" s="221">
        <f t="shared" si="16"/>
        <v>3315143.45</v>
      </c>
      <c r="H83" s="222">
        <v>248973.9</v>
      </c>
      <c r="I83" s="222">
        <v>0</v>
      </c>
      <c r="J83" s="222">
        <v>0</v>
      </c>
      <c r="K83" s="222">
        <v>0</v>
      </c>
      <c r="L83" s="222">
        <f t="shared" si="17"/>
        <v>0</v>
      </c>
      <c r="M83" s="222">
        <v>0</v>
      </c>
      <c r="N83" s="222">
        <v>0</v>
      </c>
      <c r="O83" s="222">
        <v>0</v>
      </c>
      <c r="P83" s="222">
        <f t="shared" si="18"/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f t="shared" si="19"/>
        <v>0</v>
      </c>
      <c r="V83" s="221">
        <f t="shared" si="20"/>
        <v>3564117.35</v>
      </c>
      <c r="W83" s="172">
        <v>0</v>
      </c>
      <c r="X83" s="172">
        <f t="shared" si="21"/>
        <v>3564117.35</v>
      </c>
      <c r="Y83" s="173">
        <v>0</v>
      </c>
      <c r="Z83" s="172">
        <f t="shared" si="22"/>
        <v>3564117.35</v>
      </c>
    </row>
    <row r="84" spans="1:26" ht="12.75" hidden="1" outlineLevel="1">
      <c r="A84" s="172" t="s">
        <v>2091</v>
      </c>
      <c r="C84" s="173" t="s">
        <v>2092</v>
      </c>
      <c r="D84" s="173" t="s">
        <v>2093</v>
      </c>
      <c r="E84" s="172">
        <v>0</v>
      </c>
      <c r="F84" s="172">
        <v>2589035.4</v>
      </c>
      <c r="G84" s="221">
        <f t="shared" si="16"/>
        <v>2589035.4</v>
      </c>
      <c r="H84" s="222">
        <v>663817</v>
      </c>
      <c r="I84" s="222">
        <v>0</v>
      </c>
      <c r="J84" s="222">
        <v>0</v>
      </c>
      <c r="K84" s="222">
        <v>0</v>
      </c>
      <c r="L84" s="222">
        <f t="shared" si="17"/>
        <v>0</v>
      </c>
      <c r="M84" s="222">
        <v>0</v>
      </c>
      <c r="N84" s="222">
        <v>0</v>
      </c>
      <c r="O84" s="222">
        <v>0</v>
      </c>
      <c r="P84" s="222">
        <f t="shared" si="18"/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f t="shared" si="19"/>
        <v>0</v>
      </c>
      <c r="V84" s="221">
        <f t="shared" si="20"/>
        <v>3252852.4</v>
      </c>
      <c r="W84" s="172">
        <v>0</v>
      </c>
      <c r="X84" s="172">
        <f t="shared" si="21"/>
        <v>3252852.4</v>
      </c>
      <c r="Y84" s="173">
        <v>0</v>
      </c>
      <c r="Z84" s="172">
        <f t="shared" si="22"/>
        <v>3252852.4</v>
      </c>
    </row>
    <row r="85" spans="1:26" ht="12.75" hidden="1" outlineLevel="1">
      <c r="A85" s="172" t="s">
        <v>2094</v>
      </c>
      <c r="C85" s="173" t="s">
        <v>2095</v>
      </c>
      <c r="D85" s="173" t="s">
        <v>2096</v>
      </c>
      <c r="E85" s="172">
        <v>0</v>
      </c>
      <c r="F85" s="172">
        <v>373414.88</v>
      </c>
      <c r="G85" s="221">
        <f t="shared" si="16"/>
        <v>373414.88</v>
      </c>
      <c r="H85" s="222">
        <v>4154.05</v>
      </c>
      <c r="I85" s="222">
        <v>0</v>
      </c>
      <c r="J85" s="222">
        <v>0</v>
      </c>
      <c r="K85" s="222">
        <v>0</v>
      </c>
      <c r="L85" s="222">
        <f t="shared" si="17"/>
        <v>0</v>
      </c>
      <c r="M85" s="222">
        <v>0</v>
      </c>
      <c r="N85" s="222">
        <v>0</v>
      </c>
      <c r="O85" s="222">
        <v>0</v>
      </c>
      <c r="P85" s="222">
        <f t="shared" si="18"/>
        <v>0</v>
      </c>
      <c r="Q85" s="221">
        <v>0</v>
      </c>
      <c r="R85" s="221">
        <v>0</v>
      </c>
      <c r="S85" s="221">
        <v>0</v>
      </c>
      <c r="T85" s="221">
        <v>0</v>
      </c>
      <c r="U85" s="221">
        <f t="shared" si="19"/>
        <v>0</v>
      </c>
      <c r="V85" s="221">
        <f t="shared" si="20"/>
        <v>377568.93</v>
      </c>
      <c r="W85" s="172">
        <v>0</v>
      </c>
      <c r="X85" s="172">
        <f t="shared" si="21"/>
        <v>377568.93</v>
      </c>
      <c r="Y85" s="173">
        <v>0</v>
      </c>
      <c r="Z85" s="172">
        <f t="shared" si="22"/>
        <v>377568.93</v>
      </c>
    </row>
    <row r="86" spans="1:26" ht="12.75" hidden="1" outlineLevel="1">
      <c r="A86" s="172" t="s">
        <v>2097</v>
      </c>
      <c r="C86" s="173" t="s">
        <v>2098</v>
      </c>
      <c r="D86" s="173" t="s">
        <v>2099</v>
      </c>
      <c r="E86" s="172">
        <v>0</v>
      </c>
      <c r="F86" s="172">
        <v>1464084.44</v>
      </c>
      <c r="G86" s="221">
        <f t="shared" si="16"/>
        <v>1464084.44</v>
      </c>
      <c r="H86" s="222">
        <v>147077.48</v>
      </c>
      <c r="I86" s="222">
        <v>0</v>
      </c>
      <c r="J86" s="222">
        <v>0</v>
      </c>
      <c r="K86" s="222">
        <v>0</v>
      </c>
      <c r="L86" s="222">
        <f t="shared" si="17"/>
        <v>0</v>
      </c>
      <c r="M86" s="222">
        <v>0</v>
      </c>
      <c r="N86" s="222">
        <v>0</v>
      </c>
      <c r="O86" s="222">
        <v>0</v>
      </c>
      <c r="P86" s="222">
        <f t="shared" si="18"/>
        <v>0</v>
      </c>
      <c r="Q86" s="221">
        <v>0</v>
      </c>
      <c r="R86" s="221">
        <v>0</v>
      </c>
      <c r="S86" s="221">
        <v>0</v>
      </c>
      <c r="T86" s="221">
        <v>0</v>
      </c>
      <c r="U86" s="221">
        <f t="shared" si="19"/>
        <v>0</v>
      </c>
      <c r="V86" s="221">
        <f t="shared" si="20"/>
        <v>1611161.92</v>
      </c>
      <c r="W86" s="172">
        <v>0</v>
      </c>
      <c r="X86" s="172">
        <f t="shared" si="21"/>
        <v>1611161.92</v>
      </c>
      <c r="Y86" s="173">
        <v>0</v>
      </c>
      <c r="Z86" s="172">
        <f t="shared" si="22"/>
        <v>1611161.92</v>
      </c>
    </row>
    <row r="87" spans="1:26" ht="12.75" hidden="1" outlineLevel="1">
      <c r="A87" s="172" t="s">
        <v>2100</v>
      </c>
      <c r="C87" s="173" t="s">
        <v>2101</v>
      </c>
      <c r="D87" s="173" t="s">
        <v>2102</v>
      </c>
      <c r="E87" s="172">
        <v>0</v>
      </c>
      <c r="F87" s="172">
        <v>476252.69</v>
      </c>
      <c r="G87" s="221">
        <f t="shared" si="16"/>
        <v>476252.69</v>
      </c>
      <c r="H87" s="222">
        <v>0</v>
      </c>
      <c r="I87" s="222">
        <v>0</v>
      </c>
      <c r="J87" s="222">
        <v>0</v>
      </c>
      <c r="K87" s="222">
        <v>0</v>
      </c>
      <c r="L87" s="222">
        <f t="shared" si="17"/>
        <v>0</v>
      </c>
      <c r="M87" s="222">
        <v>0</v>
      </c>
      <c r="N87" s="222">
        <v>0</v>
      </c>
      <c r="O87" s="222">
        <v>0</v>
      </c>
      <c r="P87" s="222">
        <f t="shared" si="18"/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f t="shared" si="19"/>
        <v>0</v>
      </c>
      <c r="V87" s="221">
        <f t="shared" si="20"/>
        <v>476252.69</v>
      </c>
      <c r="W87" s="172">
        <v>0</v>
      </c>
      <c r="X87" s="172">
        <f t="shared" si="21"/>
        <v>476252.69</v>
      </c>
      <c r="Y87" s="173">
        <v>0</v>
      </c>
      <c r="Z87" s="172">
        <f t="shared" si="22"/>
        <v>476252.69</v>
      </c>
    </row>
    <row r="88" spans="1:26" ht="12.75" hidden="1" outlineLevel="1">
      <c r="A88" s="172" t="s">
        <v>2103</v>
      </c>
      <c r="C88" s="173" t="s">
        <v>2104</v>
      </c>
      <c r="D88" s="173" t="s">
        <v>2105</v>
      </c>
      <c r="E88" s="172">
        <v>0</v>
      </c>
      <c r="F88" s="172">
        <v>800725.54</v>
      </c>
      <c r="G88" s="221">
        <f t="shared" si="16"/>
        <v>800725.54</v>
      </c>
      <c r="H88" s="222">
        <v>6124.21</v>
      </c>
      <c r="I88" s="222">
        <v>0</v>
      </c>
      <c r="J88" s="222">
        <v>0</v>
      </c>
      <c r="K88" s="222">
        <v>0</v>
      </c>
      <c r="L88" s="222">
        <f t="shared" si="17"/>
        <v>0</v>
      </c>
      <c r="M88" s="222">
        <v>0</v>
      </c>
      <c r="N88" s="222">
        <v>0</v>
      </c>
      <c r="O88" s="222">
        <v>0</v>
      </c>
      <c r="P88" s="222">
        <f t="shared" si="18"/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f t="shared" si="19"/>
        <v>0</v>
      </c>
      <c r="V88" s="221">
        <f t="shared" si="20"/>
        <v>806849.75</v>
      </c>
      <c r="W88" s="172">
        <v>0</v>
      </c>
      <c r="X88" s="172">
        <f t="shared" si="21"/>
        <v>806849.75</v>
      </c>
      <c r="Y88" s="173">
        <v>0</v>
      </c>
      <c r="Z88" s="172">
        <f t="shared" si="22"/>
        <v>806849.75</v>
      </c>
    </row>
    <row r="89" spans="1:26" ht="12.75" hidden="1" outlineLevel="1">
      <c r="A89" s="172" t="s">
        <v>2106</v>
      </c>
      <c r="C89" s="173" t="s">
        <v>2107</v>
      </c>
      <c r="D89" s="173" t="s">
        <v>2108</v>
      </c>
      <c r="E89" s="172">
        <v>0</v>
      </c>
      <c r="F89" s="172">
        <v>30660.7</v>
      </c>
      <c r="G89" s="221">
        <f t="shared" si="16"/>
        <v>30660.7</v>
      </c>
      <c r="H89" s="222">
        <v>29526.24</v>
      </c>
      <c r="I89" s="222">
        <v>0</v>
      </c>
      <c r="J89" s="222">
        <v>0</v>
      </c>
      <c r="K89" s="222">
        <v>0</v>
      </c>
      <c r="L89" s="222">
        <f t="shared" si="17"/>
        <v>0</v>
      </c>
      <c r="M89" s="222">
        <v>0</v>
      </c>
      <c r="N89" s="222">
        <v>0</v>
      </c>
      <c r="O89" s="222">
        <v>0</v>
      </c>
      <c r="P89" s="222">
        <f t="shared" si="18"/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f t="shared" si="19"/>
        <v>0</v>
      </c>
      <c r="V89" s="221">
        <f t="shared" si="20"/>
        <v>60186.94</v>
      </c>
      <c r="W89" s="172">
        <v>0</v>
      </c>
      <c r="X89" s="172">
        <f t="shared" si="21"/>
        <v>60186.94</v>
      </c>
      <c r="Y89" s="173">
        <v>0</v>
      </c>
      <c r="Z89" s="172">
        <f t="shared" si="22"/>
        <v>60186.94</v>
      </c>
    </row>
    <row r="90" spans="1:26" ht="12.75" hidden="1" outlineLevel="1">
      <c r="A90" s="172" t="s">
        <v>2109</v>
      </c>
      <c r="C90" s="173" t="s">
        <v>2110</v>
      </c>
      <c r="D90" s="173" t="s">
        <v>2111</v>
      </c>
      <c r="E90" s="172">
        <v>0</v>
      </c>
      <c r="F90" s="172">
        <v>-16219.9</v>
      </c>
      <c r="G90" s="221">
        <f t="shared" si="16"/>
        <v>-16219.9</v>
      </c>
      <c r="H90" s="222">
        <v>-345.15</v>
      </c>
      <c r="I90" s="222">
        <v>0</v>
      </c>
      <c r="J90" s="222">
        <v>0</v>
      </c>
      <c r="K90" s="222">
        <v>0</v>
      </c>
      <c r="L90" s="222">
        <f t="shared" si="17"/>
        <v>0</v>
      </c>
      <c r="M90" s="222">
        <v>0</v>
      </c>
      <c r="N90" s="222">
        <v>0</v>
      </c>
      <c r="O90" s="222">
        <v>0</v>
      </c>
      <c r="P90" s="222">
        <f t="shared" si="18"/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f t="shared" si="19"/>
        <v>0</v>
      </c>
      <c r="V90" s="221">
        <f t="shared" si="20"/>
        <v>-16565.05</v>
      </c>
      <c r="W90" s="172">
        <v>0</v>
      </c>
      <c r="X90" s="172">
        <f t="shared" si="21"/>
        <v>-16565.05</v>
      </c>
      <c r="Y90" s="173">
        <v>0</v>
      </c>
      <c r="Z90" s="172">
        <f t="shared" si="22"/>
        <v>-16565.05</v>
      </c>
    </row>
    <row r="91" spans="1:26" ht="12.75" hidden="1" outlineLevel="1">
      <c r="A91" s="172" t="s">
        <v>2112</v>
      </c>
      <c r="C91" s="173" t="s">
        <v>2113</v>
      </c>
      <c r="D91" s="173" t="s">
        <v>2114</v>
      </c>
      <c r="E91" s="172">
        <v>0</v>
      </c>
      <c r="F91" s="172">
        <v>83322.31</v>
      </c>
      <c r="G91" s="221">
        <f t="shared" si="16"/>
        <v>83322.31</v>
      </c>
      <c r="H91" s="222">
        <v>0</v>
      </c>
      <c r="I91" s="222">
        <v>0</v>
      </c>
      <c r="J91" s="222">
        <v>0</v>
      </c>
      <c r="K91" s="222">
        <v>0</v>
      </c>
      <c r="L91" s="222">
        <f t="shared" si="17"/>
        <v>0</v>
      </c>
      <c r="M91" s="222">
        <v>0</v>
      </c>
      <c r="N91" s="222">
        <v>0</v>
      </c>
      <c r="O91" s="222">
        <v>0</v>
      </c>
      <c r="P91" s="222">
        <f t="shared" si="18"/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f t="shared" si="19"/>
        <v>0</v>
      </c>
      <c r="V91" s="221">
        <f t="shared" si="20"/>
        <v>83322.31</v>
      </c>
      <c r="W91" s="172">
        <v>0</v>
      </c>
      <c r="X91" s="172">
        <f t="shared" si="21"/>
        <v>83322.31</v>
      </c>
      <c r="Y91" s="173">
        <v>0</v>
      </c>
      <c r="Z91" s="172">
        <f t="shared" si="22"/>
        <v>83322.31</v>
      </c>
    </row>
    <row r="92" spans="1:26" ht="12.75" hidden="1" outlineLevel="1">
      <c r="A92" s="172" t="s">
        <v>2115</v>
      </c>
      <c r="C92" s="173" t="s">
        <v>2116</v>
      </c>
      <c r="D92" s="173" t="s">
        <v>2117</v>
      </c>
      <c r="E92" s="172">
        <v>0</v>
      </c>
      <c r="F92" s="172">
        <v>720</v>
      </c>
      <c r="G92" s="221">
        <f t="shared" si="16"/>
        <v>720</v>
      </c>
      <c r="H92" s="222">
        <v>0</v>
      </c>
      <c r="I92" s="222">
        <v>0</v>
      </c>
      <c r="J92" s="222">
        <v>0</v>
      </c>
      <c r="K92" s="222">
        <v>0</v>
      </c>
      <c r="L92" s="222">
        <f t="shared" si="17"/>
        <v>0</v>
      </c>
      <c r="M92" s="222">
        <v>0</v>
      </c>
      <c r="N92" s="222">
        <v>0</v>
      </c>
      <c r="O92" s="222">
        <v>0</v>
      </c>
      <c r="P92" s="222">
        <f t="shared" si="18"/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f t="shared" si="19"/>
        <v>0</v>
      </c>
      <c r="V92" s="221">
        <f t="shared" si="20"/>
        <v>720</v>
      </c>
      <c r="W92" s="172">
        <v>0</v>
      </c>
      <c r="X92" s="172">
        <f t="shared" si="21"/>
        <v>720</v>
      </c>
      <c r="Y92" s="173">
        <v>0</v>
      </c>
      <c r="Z92" s="172">
        <f t="shared" si="22"/>
        <v>720</v>
      </c>
    </row>
    <row r="93" spans="1:26" ht="12.75" hidden="1" outlineLevel="1">
      <c r="A93" s="172" t="s">
        <v>2118</v>
      </c>
      <c r="C93" s="173" t="s">
        <v>2119</v>
      </c>
      <c r="D93" s="173" t="s">
        <v>2120</v>
      </c>
      <c r="E93" s="172">
        <v>0</v>
      </c>
      <c r="F93" s="172">
        <v>-86163.33</v>
      </c>
      <c r="G93" s="221">
        <f t="shared" si="16"/>
        <v>-86163.33</v>
      </c>
      <c r="H93" s="222">
        <v>-17130.22</v>
      </c>
      <c r="I93" s="222">
        <v>0</v>
      </c>
      <c r="J93" s="222">
        <v>0</v>
      </c>
      <c r="K93" s="222">
        <v>0</v>
      </c>
      <c r="L93" s="222">
        <f t="shared" si="17"/>
        <v>0</v>
      </c>
      <c r="M93" s="222">
        <v>0</v>
      </c>
      <c r="N93" s="222">
        <v>0</v>
      </c>
      <c r="O93" s="222">
        <v>0</v>
      </c>
      <c r="P93" s="222">
        <f t="shared" si="18"/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f t="shared" si="19"/>
        <v>0</v>
      </c>
      <c r="V93" s="221">
        <f t="shared" si="20"/>
        <v>-103293.55</v>
      </c>
      <c r="W93" s="172">
        <v>0</v>
      </c>
      <c r="X93" s="172">
        <f t="shared" si="21"/>
        <v>-103293.55</v>
      </c>
      <c r="Y93" s="173">
        <v>0</v>
      </c>
      <c r="Z93" s="172">
        <f t="shared" si="22"/>
        <v>-103293.55</v>
      </c>
    </row>
    <row r="94" spans="1:26" ht="12.75" hidden="1" outlineLevel="1">
      <c r="A94" s="172" t="s">
        <v>2121</v>
      </c>
      <c r="C94" s="173" t="s">
        <v>2122</v>
      </c>
      <c r="D94" s="173" t="s">
        <v>2123</v>
      </c>
      <c r="E94" s="172">
        <v>0</v>
      </c>
      <c r="F94" s="172">
        <v>660</v>
      </c>
      <c r="G94" s="221">
        <f t="shared" si="16"/>
        <v>660</v>
      </c>
      <c r="H94" s="222">
        <v>45.5</v>
      </c>
      <c r="I94" s="222">
        <v>0</v>
      </c>
      <c r="J94" s="222">
        <v>0</v>
      </c>
      <c r="K94" s="222">
        <v>0</v>
      </c>
      <c r="L94" s="222">
        <f t="shared" si="17"/>
        <v>0</v>
      </c>
      <c r="M94" s="222">
        <v>0</v>
      </c>
      <c r="N94" s="222">
        <v>0</v>
      </c>
      <c r="O94" s="222">
        <v>0</v>
      </c>
      <c r="P94" s="222">
        <f t="shared" si="18"/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f t="shared" si="19"/>
        <v>0</v>
      </c>
      <c r="V94" s="221">
        <f t="shared" si="20"/>
        <v>705.5</v>
      </c>
      <c r="W94" s="172">
        <v>0</v>
      </c>
      <c r="X94" s="172">
        <f t="shared" si="21"/>
        <v>705.5</v>
      </c>
      <c r="Y94" s="173">
        <v>0</v>
      </c>
      <c r="Z94" s="172">
        <f t="shared" si="22"/>
        <v>705.5</v>
      </c>
    </row>
    <row r="95" spans="1:27" ht="12.75" collapsed="1">
      <c r="A95" s="213" t="s">
        <v>2124</v>
      </c>
      <c r="B95" s="214"/>
      <c r="C95" s="213" t="s">
        <v>2074</v>
      </c>
      <c r="D95" s="215"/>
      <c r="E95" s="190">
        <v>0</v>
      </c>
      <c r="F95" s="190">
        <v>17453525.64</v>
      </c>
      <c r="G95" s="102">
        <f t="shared" si="16"/>
        <v>17453525.64</v>
      </c>
      <c r="H95" s="102">
        <v>1877677.47</v>
      </c>
      <c r="I95" s="102">
        <v>0</v>
      </c>
      <c r="J95" s="102">
        <v>0</v>
      </c>
      <c r="K95" s="102">
        <v>0</v>
      </c>
      <c r="L95" s="102">
        <f t="shared" si="17"/>
        <v>0</v>
      </c>
      <c r="M95" s="102">
        <v>0</v>
      </c>
      <c r="N95" s="102">
        <v>0</v>
      </c>
      <c r="O95" s="102">
        <v>0</v>
      </c>
      <c r="P95" s="102">
        <f t="shared" si="18"/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f t="shared" si="19"/>
        <v>0</v>
      </c>
      <c r="V95" s="102">
        <f t="shared" si="20"/>
        <v>19331203.11</v>
      </c>
      <c r="W95" s="190">
        <v>0</v>
      </c>
      <c r="X95" s="190">
        <f t="shared" si="21"/>
        <v>19331203.11</v>
      </c>
      <c r="Y95" s="190">
        <v>0</v>
      </c>
      <c r="Z95" s="190">
        <f t="shared" si="22"/>
        <v>19331203.11</v>
      </c>
      <c r="AA95" s="213"/>
    </row>
    <row r="96" spans="1:26" ht="12.75" hidden="1" outlineLevel="1">
      <c r="A96" s="172" t="s">
        <v>2125</v>
      </c>
      <c r="C96" s="173" t="s">
        <v>2126</v>
      </c>
      <c r="D96" s="173" t="s">
        <v>2127</v>
      </c>
      <c r="E96" s="172">
        <v>-2969</v>
      </c>
      <c r="F96" s="172">
        <v>-11134560.75</v>
      </c>
      <c r="G96" s="221">
        <f t="shared" si="16"/>
        <v>-11137529.75</v>
      </c>
      <c r="H96" s="222">
        <v>-1000</v>
      </c>
      <c r="I96" s="222">
        <v>0</v>
      </c>
      <c r="J96" s="222">
        <v>0</v>
      </c>
      <c r="K96" s="222">
        <v>0</v>
      </c>
      <c r="L96" s="222">
        <f t="shared" si="17"/>
        <v>0</v>
      </c>
      <c r="M96" s="222">
        <v>0</v>
      </c>
      <c r="N96" s="222">
        <v>0</v>
      </c>
      <c r="O96" s="222">
        <v>0</v>
      </c>
      <c r="P96" s="222">
        <f t="shared" si="18"/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f t="shared" si="19"/>
        <v>0</v>
      </c>
      <c r="V96" s="221">
        <f t="shared" si="20"/>
        <v>-11138529.75</v>
      </c>
      <c r="W96" s="172">
        <v>0</v>
      </c>
      <c r="X96" s="172">
        <f t="shared" si="21"/>
        <v>-11138529.75</v>
      </c>
      <c r="Y96" s="173">
        <v>0</v>
      </c>
      <c r="Z96" s="172">
        <f t="shared" si="22"/>
        <v>-11138529.75</v>
      </c>
    </row>
    <row r="97" spans="1:26" ht="12.75" hidden="1" outlineLevel="1">
      <c r="A97" s="172" t="s">
        <v>2128</v>
      </c>
      <c r="C97" s="173" t="s">
        <v>2129</v>
      </c>
      <c r="D97" s="173" t="s">
        <v>2130</v>
      </c>
      <c r="E97" s="172">
        <v>0</v>
      </c>
      <c r="F97" s="172">
        <v>0</v>
      </c>
      <c r="G97" s="221">
        <f t="shared" si="16"/>
        <v>0</v>
      </c>
      <c r="H97" s="222">
        <v>-649.15</v>
      </c>
      <c r="I97" s="222">
        <v>0</v>
      </c>
      <c r="J97" s="222">
        <v>0</v>
      </c>
      <c r="K97" s="222">
        <v>0</v>
      </c>
      <c r="L97" s="222">
        <f t="shared" si="17"/>
        <v>0</v>
      </c>
      <c r="M97" s="222">
        <v>0</v>
      </c>
      <c r="N97" s="222">
        <v>0</v>
      </c>
      <c r="O97" s="222">
        <v>0</v>
      </c>
      <c r="P97" s="222">
        <f t="shared" si="18"/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f t="shared" si="19"/>
        <v>0</v>
      </c>
      <c r="V97" s="221">
        <f t="shared" si="20"/>
        <v>-649.15</v>
      </c>
      <c r="W97" s="172">
        <v>0</v>
      </c>
      <c r="X97" s="172">
        <f t="shared" si="21"/>
        <v>-649.15</v>
      </c>
      <c r="Y97" s="173">
        <v>0</v>
      </c>
      <c r="Z97" s="172">
        <f t="shared" si="22"/>
        <v>-649.15</v>
      </c>
    </row>
    <row r="98" spans="1:26" ht="12.75" hidden="1" outlineLevel="1">
      <c r="A98" s="172" t="s">
        <v>2131</v>
      </c>
      <c r="C98" s="173" t="s">
        <v>2132</v>
      </c>
      <c r="D98" s="173" t="s">
        <v>2133</v>
      </c>
      <c r="E98" s="172">
        <v>0</v>
      </c>
      <c r="F98" s="172">
        <v>-300</v>
      </c>
      <c r="G98" s="221">
        <f t="shared" si="16"/>
        <v>-300</v>
      </c>
      <c r="H98" s="222">
        <v>0</v>
      </c>
      <c r="I98" s="222">
        <v>0</v>
      </c>
      <c r="J98" s="222">
        <v>0</v>
      </c>
      <c r="K98" s="222">
        <v>0</v>
      </c>
      <c r="L98" s="222">
        <f t="shared" si="17"/>
        <v>0</v>
      </c>
      <c r="M98" s="222">
        <v>0</v>
      </c>
      <c r="N98" s="222">
        <v>0</v>
      </c>
      <c r="O98" s="222">
        <v>0</v>
      </c>
      <c r="P98" s="222">
        <f t="shared" si="18"/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f t="shared" si="19"/>
        <v>0</v>
      </c>
      <c r="V98" s="221">
        <f t="shared" si="20"/>
        <v>-300</v>
      </c>
      <c r="W98" s="172">
        <v>0</v>
      </c>
      <c r="X98" s="172">
        <f t="shared" si="21"/>
        <v>-300</v>
      </c>
      <c r="Y98" s="173">
        <v>0</v>
      </c>
      <c r="Z98" s="172">
        <f t="shared" si="22"/>
        <v>-300</v>
      </c>
    </row>
    <row r="99" spans="1:26" ht="12.75" hidden="1" outlineLevel="1">
      <c r="A99" s="172" t="s">
        <v>2134</v>
      </c>
      <c r="C99" s="173" t="s">
        <v>2135</v>
      </c>
      <c r="D99" s="173" t="s">
        <v>2136</v>
      </c>
      <c r="E99" s="172">
        <v>0</v>
      </c>
      <c r="F99" s="172">
        <v>10083933.51</v>
      </c>
      <c r="G99" s="221">
        <f t="shared" si="16"/>
        <v>10083933.51</v>
      </c>
      <c r="H99" s="222">
        <v>0</v>
      </c>
      <c r="I99" s="222">
        <v>0</v>
      </c>
      <c r="J99" s="222">
        <v>0</v>
      </c>
      <c r="K99" s="222">
        <v>0</v>
      </c>
      <c r="L99" s="222">
        <f t="shared" si="17"/>
        <v>0</v>
      </c>
      <c r="M99" s="222">
        <v>0</v>
      </c>
      <c r="N99" s="222">
        <v>0</v>
      </c>
      <c r="O99" s="222">
        <v>0</v>
      </c>
      <c r="P99" s="222">
        <f t="shared" si="18"/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f t="shared" si="19"/>
        <v>0</v>
      </c>
      <c r="V99" s="221">
        <f t="shared" si="20"/>
        <v>10083933.51</v>
      </c>
      <c r="W99" s="172">
        <v>0</v>
      </c>
      <c r="X99" s="172">
        <f t="shared" si="21"/>
        <v>10083933.51</v>
      </c>
      <c r="Y99" s="173">
        <v>31.96</v>
      </c>
      <c r="Z99" s="172">
        <f t="shared" si="22"/>
        <v>10083965.47</v>
      </c>
    </row>
    <row r="100" spans="1:26" ht="12.75" hidden="1" outlineLevel="1">
      <c r="A100" s="172" t="s">
        <v>2137</v>
      </c>
      <c r="C100" s="173" t="s">
        <v>2138</v>
      </c>
      <c r="D100" s="173" t="s">
        <v>2139</v>
      </c>
      <c r="E100" s="172">
        <v>0</v>
      </c>
      <c r="F100" s="172">
        <v>329</v>
      </c>
      <c r="G100" s="221">
        <f t="shared" si="16"/>
        <v>329</v>
      </c>
      <c r="H100" s="222">
        <v>0</v>
      </c>
      <c r="I100" s="222">
        <v>0</v>
      </c>
      <c r="J100" s="222">
        <v>0</v>
      </c>
      <c r="K100" s="222">
        <v>0</v>
      </c>
      <c r="L100" s="222">
        <f t="shared" si="17"/>
        <v>0</v>
      </c>
      <c r="M100" s="222">
        <v>0</v>
      </c>
      <c r="N100" s="222">
        <v>0</v>
      </c>
      <c r="O100" s="222">
        <v>0</v>
      </c>
      <c r="P100" s="222">
        <f t="shared" si="18"/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f t="shared" si="19"/>
        <v>0</v>
      </c>
      <c r="V100" s="221">
        <f t="shared" si="20"/>
        <v>329</v>
      </c>
      <c r="W100" s="172">
        <v>0</v>
      </c>
      <c r="X100" s="172">
        <f t="shared" si="21"/>
        <v>329</v>
      </c>
      <c r="Y100" s="173">
        <v>0</v>
      </c>
      <c r="Z100" s="172">
        <f t="shared" si="22"/>
        <v>329</v>
      </c>
    </row>
    <row r="101" spans="1:26" ht="12.75" hidden="1" outlineLevel="1">
      <c r="A101" s="172" t="s">
        <v>2140</v>
      </c>
      <c r="C101" s="173" t="s">
        <v>2141</v>
      </c>
      <c r="D101" s="173" t="s">
        <v>2142</v>
      </c>
      <c r="E101" s="172">
        <v>0</v>
      </c>
      <c r="F101" s="172">
        <v>439893.78</v>
      </c>
      <c r="G101" s="221">
        <f t="shared" si="16"/>
        <v>439893.78</v>
      </c>
      <c r="H101" s="222">
        <v>0</v>
      </c>
      <c r="I101" s="222">
        <v>0</v>
      </c>
      <c r="J101" s="222">
        <v>0</v>
      </c>
      <c r="K101" s="222">
        <v>0</v>
      </c>
      <c r="L101" s="222">
        <f t="shared" si="17"/>
        <v>0</v>
      </c>
      <c r="M101" s="222">
        <v>0</v>
      </c>
      <c r="N101" s="222">
        <v>0</v>
      </c>
      <c r="O101" s="222">
        <v>0</v>
      </c>
      <c r="P101" s="222">
        <f t="shared" si="18"/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f t="shared" si="19"/>
        <v>0</v>
      </c>
      <c r="V101" s="221">
        <f t="shared" si="20"/>
        <v>439893.78</v>
      </c>
      <c r="W101" s="172">
        <v>0</v>
      </c>
      <c r="X101" s="172">
        <f t="shared" si="21"/>
        <v>439893.78</v>
      </c>
      <c r="Y101" s="173">
        <v>0</v>
      </c>
      <c r="Z101" s="172">
        <f t="shared" si="22"/>
        <v>439893.78</v>
      </c>
    </row>
    <row r="102" spans="1:26" ht="12.75" hidden="1" outlineLevel="1">
      <c r="A102" s="172" t="s">
        <v>2143</v>
      </c>
      <c r="C102" s="173" t="s">
        <v>2144</v>
      </c>
      <c r="D102" s="173" t="s">
        <v>2145</v>
      </c>
      <c r="E102" s="172">
        <v>0</v>
      </c>
      <c r="F102" s="172">
        <v>3221.75</v>
      </c>
      <c r="G102" s="221">
        <f t="shared" si="16"/>
        <v>3221.75</v>
      </c>
      <c r="H102" s="222">
        <v>0</v>
      </c>
      <c r="I102" s="222">
        <v>0</v>
      </c>
      <c r="J102" s="222">
        <v>0</v>
      </c>
      <c r="K102" s="222">
        <v>0</v>
      </c>
      <c r="L102" s="222">
        <f t="shared" si="17"/>
        <v>0</v>
      </c>
      <c r="M102" s="222">
        <v>0</v>
      </c>
      <c r="N102" s="222">
        <v>0</v>
      </c>
      <c r="O102" s="222">
        <v>0</v>
      </c>
      <c r="P102" s="222">
        <f t="shared" si="18"/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f t="shared" si="19"/>
        <v>0</v>
      </c>
      <c r="V102" s="221">
        <f t="shared" si="20"/>
        <v>3221.75</v>
      </c>
      <c r="W102" s="172">
        <v>0</v>
      </c>
      <c r="X102" s="172">
        <f t="shared" si="21"/>
        <v>3221.75</v>
      </c>
      <c r="Y102" s="173">
        <v>0</v>
      </c>
      <c r="Z102" s="172">
        <f t="shared" si="22"/>
        <v>3221.75</v>
      </c>
    </row>
    <row r="103" spans="1:26" ht="12.75" hidden="1" outlineLevel="1">
      <c r="A103" s="172" t="s">
        <v>2146</v>
      </c>
      <c r="C103" s="173" t="s">
        <v>2147</v>
      </c>
      <c r="D103" s="173" t="s">
        <v>2148</v>
      </c>
      <c r="E103" s="172">
        <v>0</v>
      </c>
      <c r="F103" s="172">
        <v>135098.33</v>
      </c>
      <c r="G103" s="221">
        <f t="shared" si="16"/>
        <v>135098.33</v>
      </c>
      <c r="H103" s="222">
        <v>0</v>
      </c>
      <c r="I103" s="222">
        <v>0</v>
      </c>
      <c r="J103" s="222">
        <v>0</v>
      </c>
      <c r="K103" s="222">
        <v>0</v>
      </c>
      <c r="L103" s="222">
        <f t="shared" si="17"/>
        <v>0</v>
      </c>
      <c r="M103" s="222">
        <v>0</v>
      </c>
      <c r="N103" s="222">
        <v>0</v>
      </c>
      <c r="O103" s="222">
        <v>0</v>
      </c>
      <c r="P103" s="222">
        <f t="shared" si="18"/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f t="shared" si="19"/>
        <v>0</v>
      </c>
      <c r="V103" s="221">
        <f t="shared" si="20"/>
        <v>135098.33</v>
      </c>
      <c r="W103" s="172">
        <v>0</v>
      </c>
      <c r="X103" s="172">
        <f t="shared" si="21"/>
        <v>135098.33</v>
      </c>
      <c r="Y103" s="173">
        <v>0</v>
      </c>
      <c r="Z103" s="172">
        <f t="shared" si="22"/>
        <v>135098.33</v>
      </c>
    </row>
    <row r="104" spans="1:26" ht="12.75" hidden="1" outlineLevel="1">
      <c r="A104" s="172" t="s">
        <v>2149</v>
      </c>
      <c r="C104" s="173" t="s">
        <v>2150</v>
      </c>
      <c r="D104" s="173" t="s">
        <v>2151</v>
      </c>
      <c r="E104" s="172">
        <v>0</v>
      </c>
      <c r="F104" s="172">
        <v>134627.96</v>
      </c>
      <c r="G104" s="221">
        <f t="shared" si="16"/>
        <v>134627.96</v>
      </c>
      <c r="H104" s="222">
        <v>0</v>
      </c>
      <c r="I104" s="222">
        <v>0</v>
      </c>
      <c r="J104" s="222">
        <v>0</v>
      </c>
      <c r="K104" s="222">
        <v>0</v>
      </c>
      <c r="L104" s="222">
        <f t="shared" si="17"/>
        <v>0</v>
      </c>
      <c r="M104" s="222">
        <v>0</v>
      </c>
      <c r="N104" s="222">
        <v>0</v>
      </c>
      <c r="O104" s="222">
        <v>0</v>
      </c>
      <c r="P104" s="222">
        <f t="shared" si="18"/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f t="shared" si="19"/>
        <v>0</v>
      </c>
      <c r="V104" s="221">
        <f t="shared" si="20"/>
        <v>134627.96</v>
      </c>
      <c r="W104" s="172">
        <v>0</v>
      </c>
      <c r="X104" s="172">
        <f t="shared" si="21"/>
        <v>134627.96</v>
      </c>
      <c r="Y104" s="173">
        <v>0</v>
      </c>
      <c r="Z104" s="172">
        <f t="shared" si="22"/>
        <v>134627.96</v>
      </c>
    </row>
    <row r="105" spans="1:26" ht="12.75" hidden="1" outlineLevel="1">
      <c r="A105" s="172" t="s">
        <v>2152</v>
      </c>
      <c r="C105" s="173" t="s">
        <v>2153</v>
      </c>
      <c r="D105" s="173" t="s">
        <v>2154</v>
      </c>
      <c r="E105" s="172">
        <v>0</v>
      </c>
      <c r="F105" s="172">
        <v>246</v>
      </c>
      <c r="G105" s="221">
        <f t="shared" si="16"/>
        <v>246</v>
      </c>
      <c r="H105" s="222">
        <v>0</v>
      </c>
      <c r="I105" s="222">
        <v>0</v>
      </c>
      <c r="J105" s="222">
        <v>0</v>
      </c>
      <c r="K105" s="222">
        <v>0</v>
      </c>
      <c r="L105" s="222">
        <f t="shared" si="17"/>
        <v>0</v>
      </c>
      <c r="M105" s="222">
        <v>0</v>
      </c>
      <c r="N105" s="222">
        <v>0</v>
      </c>
      <c r="O105" s="222">
        <v>0</v>
      </c>
      <c r="P105" s="222">
        <f t="shared" si="18"/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f t="shared" si="19"/>
        <v>0</v>
      </c>
      <c r="V105" s="221">
        <f t="shared" si="20"/>
        <v>246</v>
      </c>
      <c r="W105" s="172">
        <v>0</v>
      </c>
      <c r="X105" s="172">
        <f t="shared" si="21"/>
        <v>246</v>
      </c>
      <c r="Y105" s="173">
        <v>0</v>
      </c>
      <c r="Z105" s="172">
        <f t="shared" si="22"/>
        <v>246</v>
      </c>
    </row>
    <row r="106" spans="1:26" ht="12.75" hidden="1" outlineLevel="1">
      <c r="A106" s="172" t="s">
        <v>2155</v>
      </c>
      <c r="C106" s="173" t="s">
        <v>2156</v>
      </c>
      <c r="D106" s="173" t="s">
        <v>2157</v>
      </c>
      <c r="E106" s="172">
        <v>0</v>
      </c>
      <c r="F106" s="172">
        <v>210181.47</v>
      </c>
      <c r="G106" s="221">
        <f t="shared" si="16"/>
        <v>210181.47</v>
      </c>
      <c r="H106" s="222">
        <v>0</v>
      </c>
      <c r="I106" s="222">
        <v>0</v>
      </c>
      <c r="J106" s="222">
        <v>0</v>
      </c>
      <c r="K106" s="222">
        <v>0</v>
      </c>
      <c r="L106" s="222">
        <f t="shared" si="17"/>
        <v>0</v>
      </c>
      <c r="M106" s="222">
        <v>0</v>
      </c>
      <c r="N106" s="222">
        <v>0</v>
      </c>
      <c r="O106" s="222">
        <v>0</v>
      </c>
      <c r="P106" s="222">
        <f t="shared" si="18"/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f t="shared" si="19"/>
        <v>0</v>
      </c>
      <c r="V106" s="221">
        <f t="shared" si="20"/>
        <v>210181.47</v>
      </c>
      <c r="W106" s="172">
        <v>0</v>
      </c>
      <c r="X106" s="172">
        <f t="shared" si="21"/>
        <v>210181.47</v>
      </c>
      <c r="Y106" s="173">
        <v>0</v>
      </c>
      <c r="Z106" s="172">
        <f t="shared" si="22"/>
        <v>210181.47</v>
      </c>
    </row>
    <row r="107" spans="1:26" ht="12.75" hidden="1" outlineLevel="1">
      <c r="A107" s="172" t="s">
        <v>2158</v>
      </c>
      <c r="C107" s="173" t="s">
        <v>2159</v>
      </c>
      <c r="D107" s="173" t="s">
        <v>2160</v>
      </c>
      <c r="E107" s="172">
        <v>0</v>
      </c>
      <c r="F107" s="172">
        <v>449552.68</v>
      </c>
      <c r="G107" s="221">
        <f t="shared" si="16"/>
        <v>449552.68</v>
      </c>
      <c r="H107" s="222">
        <v>369670.4</v>
      </c>
      <c r="I107" s="222">
        <v>0</v>
      </c>
      <c r="J107" s="222">
        <v>0</v>
      </c>
      <c r="K107" s="222">
        <v>0</v>
      </c>
      <c r="L107" s="222">
        <f t="shared" si="17"/>
        <v>0</v>
      </c>
      <c r="M107" s="222">
        <v>0</v>
      </c>
      <c r="N107" s="222">
        <v>0</v>
      </c>
      <c r="O107" s="222">
        <v>0</v>
      </c>
      <c r="P107" s="222">
        <f t="shared" si="18"/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f t="shared" si="19"/>
        <v>0</v>
      </c>
      <c r="V107" s="221">
        <f t="shared" si="20"/>
        <v>819223.0800000001</v>
      </c>
      <c r="W107" s="172">
        <v>0</v>
      </c>
      <c r="X107" s="172">
        <f t="shared" si="21"/>
        <v>819223.0800000001</v>
      </c>
      <c r="Y107" s="173">
        <v>199</v>
      </c>
      <c r="Z107" s="172">
        <f t="shared" si="22"/>
        <v>819422.0800000001</v>
      </c>
    </row>
    <row r="108" spans="1:26" ht="12.75" hidden="1" outlineLevel="1">
      <c r="A108" s="172" t="s">
        <v>2161</v>
      </c>
      <c r="C108" s="173" t="s">
        <v>2162</v>
      </c>
      <c r="D108" s="173" t="s">
        <v>2163</v>
      </c>
      <c r="E108" s="172">
        <v>0</v>
      </c>
      <c r="F108" s="172">
        <v>94141.48</v>
      </c>
      <c r="G108" s="221">
        <f t="shared" si="16"/>
        <v>94141.48</v>
      </c>
      <c r="H108" s="222">
        <v>77021.39</v>
      </c>
      <c r="I108" s="222">
        <v>0</v>
      </c>
      <c r="J108" s="222">
        <v>0</v>
      </c>
      <c r="K108" s="222">
        <v>0</v>
      </c>
      <c r="L108" s="222">
        <f t="shared" si="17"/>
        <v>0</v>
      </c>
      <c r="M108" s="222">
        <v>0</v>
      </c>
      <c r="N108" s="222">
        <v>0</v>
      </c>
      <c r="O108" s="222">
        <v>0</v>
      </c>
      <c r="P108" s="222">
        <f t="shared" si="18"/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f t="shared" si="19"/>
        <v>0</v>
      </c>
      <c r="V108" s="221">
        <f t="shared" si="20"/>
        <v>171162.87</v>
      </c>
      <c r="W108" s="172">
        <v>0</v>
      </c>
      <c r="X108" s="172">
        <f t="shared" si="21"/>
        <v>171162.87</v>
      </c>
      <c r="Y108" s="173">
        <v>0</v>
      </c>
      <c r="Z108" s="172">
        <f t="shared" si="22"/>
        <v>171162.87</v>
      </c>
    </row>
    <row r="109" spans="1:26" ht="12.75" hidden="1" outlineLevel="1">
      <c r="A109" s="172" t="s">
        <v>2164</v>
      </c>
      <c r="C109" s="173" t="s">
        <v>2165</v>
      </c>
      <c r="D109" s="173" t="s">
        <v>2166</v>
      </c>
      <c r="E109" s="172">
        <v>0</v>
      </c>
      <c r="F109" s="172">
        <v>303687.3</v>
      </c>
      <c r="G109" s="221">
        <f t="shared" si="16"/>
        <v>303687.3</v>
      </c>
      <c r="H109" s="222">
        <v>152725.29</v>
      </c>
      <c r="I109" s="222">
        <v>0</v>
      </c>
      <c r="J109" s="222">
        <v>0</v>
      </c>
      <c r="K109" s="222">
        <v>0</v>
      </c>
      <c r="L109" s="222">
        <f t="shared" si="17"/>
        <v>0</v>
      </c>
      <c r="M109" s="222">
        <v>0</v>
      </c>
      <c r="N109" s="222">
        <v>0</v>
      </c>
      <c r="O109" s="222">
        <v>0</v>
      </c>
      <c r="P109" s="222">
        <f t="shared" si="18"/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f t="shared" si="19"/>
        <v>0</v>
      </c>
      <c r="V109" s="221">
        <f t="shared" si="20"/>
        <v>456412.58999999997</v>
      </c>
      <c r="W109" s="172">
        <v>0</v>
      </c>
      <c r="X109" s="172">
        <f t="shared" si="21"/>
        <v>456412.58999999997</v>
      </c>
      <c r="Y109" s="173">
        <v>0</v>
      </c>
      <c r="Z109" s="172">
        <f t="shared" si="22"/>
        <v>456412.58999999997</v>
      </c>
    </row>
    <row r="110" spans="1:26" ht="12.75" hidden="1" outlineLevel="1">
      <c r="A110" s="172" t="s">
        <v>2167</v>
      </c>
      <c r="C110" s="173" t="s">
        <v>2168</v>
      </c>
      <c r="D110" s="173" t="s">
        <v>2169</v>
      </c>
      <c r="E110" s="172">
        <v>0</v>
      </c>
      <c r="F110" s="172">
        <v>196878.65</v>
      </c>
      <c r="G110" s="221">
        <f t="shared" si="16"/>
        <v>196878.65</v>
      </c>
      <c r="H110" s="222">
        <v>218930.58</v>
      </c>
      <c r="I110" s="222">
        <v>0</v>
      </c>
      <c r="J110" s="222">
        <v>0</v>
      </c>
      <c r="K110" s="222">
        <v>0</v>
      </c>
      <c r="L110" s="222">
        <f t="shared" si="17"/>
        <v>0</v>
      </c>
      <c r="M110" s="222">
        <v>0</v>
      </c>
      <c r="N110" s="222">
        <v>0</v>
      </c>
      <c r="O110" s="222">
        <v>0</v>
      </c>
      <c r="P110" s="222">
        <f t="shared" si="18"/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f t="shared" si="19"/>
        <v>0</v>
      </c>
      <c r="V110" s="221">
        <f t="shared" si="20"/>
        <v>415809.23</v>
      </c>
      <c r="W110" s="172">
        <v>0</v>
      </c>
      <c r="X110" s="172">
        <f t="shared" si="21"/>
        <v>415809.23</v>
      </c>
      <c r="Y110" s="173">
        <v>34819</v>
      </c>
      <c r="Z110" s="172">
        <f t="shared" si="22"/>
        <v>450628.23</v>
      </c>
    </row>
    <row r="111" spans="1:26" ht="12.75" hidden="1" outlineLevel="1">
      <c r="A111" s="172" t="s">
        <v>2170</v>
      </c>
      <c r="C111" s="173" t="s">
        <v>2171</v>
      </c>
      <c r="D111" s="173" t="s">
        <v>2172</v>
      </c>
      <c r="E111" s="172">
        <v>0</v>
      </c>
      <c r="F111" s="172">
        <v>48861.92</v>
      </c>
      <c r="G111" s="221">
        <f t="shared" si="16"/>
        <v>48861.92</v>
      </c>
      <c r="H111" s="222">
        <v>1323.48</v>
      </c>
      <c r="I111" s="222">
        <v>0</v>
      </c>
      <c r="J111" s="222">
        <v>0</v>
      </c>
      <c r="K111" s="222">
        <v>0</v>
      </c>
      <c r="L111" s="222">
        <f t="shared" si="17"/>
        <v>0</v>
      </c>
      <c r="M111" s="222">
        <v>0</v>
      </c>
      <c r="N111" s="222">
        <v>0</v>
      </c>
      <c r="O111" s="222">
        <v>0</v>
      </c>
      <c r="P111" s="222">
        <f t="shared" si="18"/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f t="shared" si="19"/>
        <v>0</v>
      </c>
      <c r="V111" s="221">
        <f t="shared" si="20"/>
        <v>50185.4</v>
      </c>
      <c r="W111" s="172">
        <v>0</v>
      </c>
      <c r="X111" s="172">
        <f t="shared" si="21"/>
        <v>50185.4</v>
      </c>
      <c r="Y111" s="173">
        <v>0</v>
      </c>
      <c r="Z111" s="172">
        <f t="shared" si="22"/>
        <v>50185.4</v>
      </c>
    </row>
    <row r="112" spans="1:26" ht="12.75" hidden="1" outlineLevel="1">
      <c r="A112" s="172" t="s">
        <v>2173</v>
      </c>
      <c r="C112" s="173" t="s">
        <v>2174</v>
      </c>
      <c r="D112" s="173" t="s">
        <v>2175</v>
      </c>
      <c r="E112" s="172">
        <v>0</v>
      </c>
      <c r="F112" s="172">
        <v>1299.51</v>
      </c>
      <c r="G112" s="221">
        <f t="shared" si="16"/>
        <v>1299.51</v>
      </c>
      <c r="H112" s="222">
        <v>1961.98</v>
      </c>
      <c r="I112" s="222">
        <v>0</v>
      </c>
      <c r="J112" s="222">
        <v>0</v>
      </c>
      <c r="K112" s="222">
        <v>0</v>
      </c>
      <c r="L112" s="222">
        <f t="shared" si="17"/>
        <v>0</v>
      </c>
      <c r="M112" s="222">
        <v>0</v>
      </c>
      <c r="N112" s="222">
        <v>0</v>
      </c>
      <c r="O112" s="222">
        <v>0</v>
      </c>
      <c r="P112" s="222">
        <f t="shared" si="18"/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f t="shared" si="19"/>
        <v>0</v>
      </c>
      <c r="V112" s="221">
        <f t="shared" si="20"/>
        <v>3261.49</v>
      </c>
      <c r="W112" s="172">
        <v>0</v>
      </c>
      <c r="X112" s="172">
        <f t="shared" si="21"/>
        <v>3261.49</v>
      </c>
      <c r="Y112" s="173">
        <v>0</v>
      </c>
      <c r="Z112" s="172">
        <f t="shared" si="22"/>
        <v>3261.49</v>
      </c>
    </row>
    <row r="113" spans="1:26" ht="12.75" hidden="1" outlineLevel="1">
      <c r="A113" s="172" t="s">
        <v>2176</v>
      </c>
      <c r="C113" s="173" t="s">
        <v>2177</v>
      </c>
      <c r="D113" s="173" t="s">
        <v>2178</v>
      </c>
      <c r="E113" s="172">
        <v>0</v>
      </c>
      <c r="F113" s="172">
        <v>3920</v>
      </c>
      <c r="G113" s="221">
        <f t="shared" si="16"/>
        <v>3920</v>
      </c>
      <c r="H113" s="222">
        <v>0</v>
      </c>
      <c r="I113" s="222">
        <v>0</v>
      </c>
      <c r="J113" s="222">
        <v>0</v>
      </c>
      <c r="K113" s="222">
        <v>0</v>
      </c>
      <c r="L113" s="222">
        <f t="shared" si="17"/>
        <v>0</v>
      </c>
      <c r="M113" s="222">
        <v>0</v>
      </c>
      <c r="N113" s="222">
        <v>0</v>
      </c>
      <c r="O113" s="222">
        <v>0</v>
      </c>
      <c r="P113" s="222">
        <f t="shared" si="18"/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f t="shared" si="19"/>
        <v>0</v>
      </c>
      <c r="V113" s="221">
        <f t="shared" si="20"/>
        <v>3920</v>
      </c>
      <c r="W113" s="172">
        <v>0</v>
      </c>
      <c r="X113" s="172">
        <f t="shared" si="21"/>
        <v>3920</v>
      </c>
      <c r="Y113" s="173">
        <v>0</v>
      </c>
      <c r="Z113" s="172">
        <f t="shared" si="22"/>
        <v>3920</v>
      </c>
    </row>
    <row r="114" spans="1:26" ht="12.75" hidden="1" outlineLevel="1">
      <c r="A114" s="172" t="s">
        <v>2179</v>
      </c>
      <c r="C114" s="173" t="s">
        <v>2180</v>
      </c>
      <c r="D114" s="173" t="s">
        <v>2181</v>
      </c>
      <c r="E114" s="172">
        <v>0</v>
      </c>
      <c r="F114" s="172">
        <v>140809.42</v>
      </c>
      <c r="G114" s="221">
        <f t="shared" si="16"/>
        <v>140809.42</v>
      </c>
      <c r="H114" s="222">
        <v>2624</v>
      </c>
      <c r="I114" s="222">
        <v>0</v>
      </c>
      <c r="J114" s="222">
        <v>0</v>
      </c>
      <c r="K114" s="222">
        <v>0</v>
      </c>
      <c r="L114" s="222">
        <f t="shared" si="17"/>
        <v>0</v>
      </c>
      <c r="M114" s="222">
        <v>0</v>
      </c>
      <c r="N114" s="222">
        <v>0</v>
      </c>
      <c r="O114" s="222">
        <v>0</v>
      </c>
      <c r="P114" s="222">
        <f t="shared" si="18"/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f t="shared" si="19"/>
        <v>0</v>
      </c>
      <c r="V114" s="221">
        <f t="shared" si="20"/>
        <v>143433.42</v>
      </c>
      <c r="W114" s="172">
        <v>0</v>
      </c>
      <c r="X114" s="172">
        <f t="shared" si="21"/>
        <v>143433.42</v>
      </c>
      <c r="Y114" s="173">
        <v>0</v>
      </c>
      <c r="Z114" s="172">
        <f t="shared" si="22"/>
        <v>143433.42</v>
      </c>
    </row>
    <row r="115" spans="1:26" ht="12.75" hidden="1" outlineLevel="1">
      <c r="A115" s="172" t="s">
        <v>2182</v>
      </c>
      <c r="C115" s="173" t="s">
        <v>2183</v>
      </c>
      <c r="D115" s="173" t="s">
        <v>2184</v>
      </c>
      <c r="E115" s="172">
        <v>0</v>
      </c>
      <c r="F115" s="172">
        <v>260</v>
      </c>
      <c r="G115" s="221">
        <f t="shared" si="16"/>
        <v>260</v>
      </c>
      <c r="H115" s="222">
        <v>0</v>
      </c>
      <c r="I115" s="222">
        <v>0</v>
      </c>
      <c r="J115" s="222">
        <v>0</v>
      </c>
      <c r="K115" s="222">
        <v>0</v>
      </c>
      <c r="L115" s="222">
        <f t="shared" si="17"/>
        <v>0</v>
      </c>
      <c r="M115" s="222">
        <v>0</v>
      </c>
      <c r="N115" s="222">
        <v>0</v>
      </c>
      <c r="O115" s="222">
        <v>0</v>
      </c>
      <c r="P115" s="222">
        <f t="shared" si="18"/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f t="shared" si="19"/>
        <v>0</v>
      </c>
      <c r="V115" s="221">
        <f t="shared" si="20"/>
        <v>260</v>
      </c>
      <c r="W115" s="172">
        <v>0</v>
      </c>
      <c r="X115" s="172">
        <f t="shared" si="21"/>
        <v>260</v>
      </c>
      <c r="Y115" s="173">
        <v>0</v>
      </c>
      <c r="Z115" s="172">
        <f t="shared" si="22"/>
        <v>260</v>
      </c>
    </row>
    <row r="116" spans="1:26" ht="12.75" hidden="1" outlineLevel="1">
      <c r="A116" s="172" t="s">
        <v>2185</v>
      </c>
      <c r="C116" s="173" t="s">
        <v>2186</v>
      </c>
      <c r="D116" s="173" t="s">
        <v>2187</v>
      </c>
      <c r="E116" s="172">
        <v>0</v>
      </c>
      <c r="F116" s="172">
        <v>12903.61</v>
      </c>
      <c r="G116" s="221">
        <f t="shared" si="16"/>
        <v>12903.61</v>
      </c>
      <c r="H116" s="222">
        <v>380.85</v>
      </c>
      <c r="I116" s="222">
        <v>0</v>
      </c>
      <c r="J116" s="222">
        <v>0</v>
      </c>
      <c r="K116" s="222">
        <v>0</v>
      </c>
      <c r="L116" s="222">
        <f t="shared" si="17"/>
        <v>0</v>
      </c>
      <c r="M116" s="222">
        <v>0</v>
      </c>
      <c r="N116" s="222">
        <v>0</v>
      </c>
      <c r="O116" s="222">
        <v>0</v>
      </c>
      <c r="P116" s="222">
        <f t="shared" si="18"/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f t="shared" si="19"/>
        <v>0</v>
      </c>
      <c r="V116" s="221">
        <f t="shared" si="20"/>
        <v>13284.460000000001</v>
      </c>
      <c r="W116" s="172">
        <v>0</v>
      </c>
      <c r="X116" s="172">
        <f t="shared" si="21"/>
        <v>13284.460000000001</v>
      </c>
      <c r="Y116" s="173">
        <v>0</v>
      </c>
      <c r="Z116" s="172">
        <f t="shared" si="22"/>
        <v>13284.460000000001</v>
      </c>
    </row>
    <row r="117" spans="1:26" ht="12.75" hidden="1" outlineLevel="1">
      <c r="A117" s="172" t="s">
        <v>2188</v>
      </c>
      <c r="C117" s="173" t="s">
        <v>2189</v>
      </c>
      <c r="D117" s="173" t="s">
        <v>2190</v>
      </c>
      <c r="E117" s="172">
        <v>0</v>
      </c>
      <c r="F117" s="172">
        <v>1395.64</v>
      </c>
      <c r="G117" s="221">
        <f t="shared" si="16"/>
        <v>1395.64</v>
      </c>
      <c r="H117" s="222">
        <v>470.26</v>
      </c>
      <c r="I117" s="222">
        <v>0</v>
      </c>
      <c r="J117" s="222">
        <v>0</v>
      </c>
      <c r="K117" s="222">
        <v>0</v>
      </c>
      <c r="L117" s="222">
        <f t="shared" si="17"/>
        <v>0</v>
      </c>
      <c r="M117" s="222">
        <v>0</v>
      </c>
      <c r="N117" s="222">
        <v>0</v>
      </c>
      <c r="O117" s="222">
        <v>0</v>
      </c>
      <c r="P117" s="222">
        <f t="shared" si="18"/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f t="shared" si="19"/>
        <v>0</v>
      </c>
      <c r="V117" s="221">
        <f t="shared" si="20"/>
        <v>1865.9</v>
      </c>
      <c r="W117" s="172">
        <v>0</v>
      </c>
      <c r="X117" s="172">
        <f t="shared" si="21"/>
        <v>1865.9</v>
      </c>
      <c r="Y117" s="173">
        <v>0</v>
      </c>
      <c r="Z117" s="172">
        <f t="shared" si="22"/>
        <v>1865.9</v>
      </c>
    </row>
    <row r="118" spans="1:26" ht="12.75" hidden="1" outlineLevel="1">
      <c r="A118" s="172" t="s">
        <v>2191</v>
      </c>
      <c r="C118" s="173" t="s">
        <v>2192</v>
      </c>
      <c r="D118" s="173" t="s">
        <v>2193</v>
      </c>
      <c r="E118" s="172">
        <v>0</v>
      </c>
      <c r="F118" s="172">
        <v>26386.81</v>
      </c>
      <c r="G118" s="221">
        <f t="shared" si="16"/>
        <v>26386.81</v>
      </c>
      <c r="H118" s="222">
        <v>9562.07</v>
      </c>
      <c r="I118" s="222">
        <v>0</v>
      </c>
      <c r="J118" s="222">
        <v>0</v>
      </c>
      <c r="K118" s="222">
        <v>0</v>
      </c>
      <c r="L118" s="222">
        <f t="shared" si="17"/>
        <v>0</v>
      </c>
      <c r="M118" s="222">
        <v>0</v>
      </c>
      <c r="N118" s="222">
        <v>0</v>
      </c>
      <c r="O118" s="222">
        <v>0</v>
      </c>
      <c r="P118" s="222">
        <f t="shared" si="18"/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f t="shared" si="19"/>
        <v>0</v>
      </c>
      <c r="V118" s="221">
        <f t="shared" si="20"/>
        <v>35948.880000000005</v>
      </c>
      <c r="W118" s="172">
        <v>0</v>
      </c>
      <c r="X118" s="172">
        <f t="shared" si="21"/>
        <v>35948.880000000005</v>
      </c>
      <c r="Y118" s="173">
        <v>0</v>
      </c>
      <c r="Z118" s="172">
        <f t="shared" si="22"/>
        <v>35948.880000000005</v>
      </c>
    </row>
    <row r="119" spans="1:26" ht="12.75" hidden="1" outlineLevel="1">
      <c r="A119" s="172" t="s">
        <v>2194</v>
      </c>
      <c r="C119" s="173" t="s">
        <v>2195</v>
      </c>
      <c r="D119" s="173" t="s">
        <v>2196</v>
      </c>
      <c r="E119" s="172">
        <v>0</v>
      </c>
      <c r="F119" s="172">
        <v>82775.76</v>
      </c>
      <c r="G119" s="221">
        <f t="shared" si="16"/>
        <v>82775.76</v>
      </c>
      <c r="H119" s="222">
        <v>31275.73</v>
      </c>
      <c r="I119" s="222">
        <v>0</v>
      </c>
      <c r="J119" s="222">
        <v>0</v>
      </c>
      <c r="K119" s="222">
        <v>0</v>
      </c>
      <c r="L119" s="222">
        <f t="shared" si="17"/>
        <v>0</v>
      </c>
      <c r="M119" s="222">
        <v>0</v>
      </c>
      <c r="N119" s="222">
        <v>0</v>
      </c>
      <c r="O119" s="222">
        <v>0</v>
      </c>
      <c r="P119" s="222">
        <f t="shared" si="18"/>
        <v>0</v>
      </c>
      <c r="Q119" s="221">
        <v>255</v>
      </c>
      <c r="R119" s="221">
        <v>0</v>
      </c>
      <c r="S119" s="221">
        <v>0</v>
      </c>
      <c r="T119" s="221">
        <v>0</v>
      </c>
      <c r="U119" s="221">
        <f t="shared" si="19"/>
        <v>255</v>
      </c>
      <c r="V119" s="221">
        <f t="shared" si="20"/>
        <v>114306.48999999999</v>
      </c>
      <c r="W119" s="172">
        <v>0</v>
      </c>
      <c r="X119" s="172">
        <f t="shared" si="21"/>
        <v>114306.48999999999</v>
      </c>
      <c r="Y119" s="173">
        <v>0</v>
      </c>
      <c r="Z119" s="172">
        <f t="shared" si="22"/>
        <v>114306.48999999999</v>
      </c>
    </row>
    <row r="120" spans="1:26" ht="12.75" hidden="1" outlineLevel="1">
      <c r="A120" s="172" t="s">
        <v>2197</v>
      </c>
      <c r="C120" s="173" t="s">
        <v>2198</v>
      </c>
      <c r="D120" s="173" t="s">
        <v>2199</v>
      </c>
      <c r="E120" s="172">
        <v>0</v>
      </c>
      <c r="F120" s="172">
        <v>619421.49</v>
      </c>
      <c r="G120" s="221">
        <f t="shared" si="16"/>
        <v>619421.49</v>
      </c>
      <c r="H120" s="222">
        <v>236320.4</v>
      </c>
      <c r="I120" s="222">
        <v>0</v>
      </c>
      <c r="J120" s="222">
        <v>0</v>
      </c>
      <c r="K120" s="222">
        <v>0</v>
      </c>
      <c r="L120" s="222">
        <f t="shared" si="17"/>
        <v>0</v>
      </c>
      <c r="M120" s="222">
        <v>0</v>
      </c>
      <c r="N120" s="222">
        <v>0</v>
      </c>
      <c r="O120" s="222">
        <v>0</v>
      </c>
      <c r="P120" s="222">
        <f t="shared" si="18"/>
        <v>0</v>
      </c>
      <c r="Q120" s="221">
        <v>1237.59</v>
      </c>
      <c r="R120" s="221">
        <v>0</v>
      </c>
      <c r="S120" s="221">
        <v>0</v>
      </c>
      <c r="T120" s="221">
        <v>0</v>
      </c>
      <c r="U120" s="221">
        <f t="shared" si="19"/>
        <v>1237.59</v>
      </c>
      <c r="V120" s="221">
        <f t="shared" si="20"/>
        <v>856979.48</v>
      </c>
      <c r="W120" s="172">
        <v>0</v>
      </c>
      <c r="X120" s="172">
        <f t="shared" si="21"/>
        <v>856979.48</v>
      </c>
      <c r="Y120" s="173">
        <v>0</v>
      </c>
      <c r="Z120" s="172">
        <f t="shared" si="22"/>
        <v>856979.48</v>
      </c>
    </row>
    <row r="121" spans="1:26" ht="12.75" hidden="1" outlineLevel="1">
      <c r="A121" s="172" t="s">
        <v>2200</v>
      </c>
      <c r="C121" s="173" t="s">
        <v>2201</v>
      </c>
      <c r="D121" s="173" t="s">
        <v>2202</v>
      </c>
      <c r="E121" s="172">
        <v>0</v>
      </c>
      <c r="F121" s="172">
        <v>53482.66</v>
      </c>
      <c r="G121" s="221">
        <f t="shared" si="16"/>
        <v>53482.66</v>
      </c>
      <c r="H121" s="222">
        <v>9737.61</v>
      </c>
      <c r="I121" s="222">
        <v>0</v>
      </c>
      <c r="J121" s="222">
        <v>0</v>
      </c>
      <c r="K121" s="222">
        <v>0</v>
      </c>
      <c r="L121" s="222">
        <f t="shared" si="17"/>
        <v>0</v>
      </c>
      <c r="M121" s="222">
        <v>0</v>
      </c>
      <c r="N121" s="222">
        <v>0</v>
      </c>
      <c r="O121" s="222">
        <v>0</v>
      </c>
      <c r="P121" s="222">
        <f t="shared" si="18"/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f t="shared" si="19"/>
        <v>0</v>
      </c>
      <c r="V121" s="221">
        <f t="shared" si="20"/>
        <v>63220.270000000004</v>
      </c>
      <c r="W121" s="172">
        <v>0</v>
      </c>
      <c r="X121" s="172">
        <f t="shared" si="21"/>
        <v>63220.270000000004</v>
      </c>
      <c r="Y121" s="173">
        <v>0</v>
      </c>
      <c r="Z121" s="172">
        <f t="shared" si="22"/>
        <v>63220.270000000004</v>
      </c>
    </row>
    <row r="122" spans="1:26" ht="12.75" hidden="1" outlineLevel="1">
      <c r="A122" s="172" t="s">
        <v>2203</v>
      </c>
      <c r="C122" s="173" t="s">
        <v>2204</v>
      </c>
      <c r="D122" s="173" t="s">
        <v>2205</v>
      </c>
      <c r="E122" s="172">
        <v>0</v>
      </c>
      <c r="F122" s="172">
        <v>147070.45</v>
      </c>
      <c r="G122" s="221">
        <f t="shared" si="16"/>
        <v>147070.45</v>
      </c>
      <c r="H122" s="222">
        <v>15648.36</v>
      </c>
      <c r="I122" s="222">
        <v>0</v>
      </c>
      <c r="J122" s="222">
        <v>0</v>
      </c>
      <c r="K122" s="222">
        <v>0</v>
      </c>
      <c r="L122" s="222">
        <f t="shared" si="17"/>
        <v>0</v>
      </c>
      <c r="M122" s="222">
        <v>0</v>
      </c>
      <c r="N122" s="222">
        <v>0</v>
      </c>
      <c r="O122" s="222">
        <v>0</v>
      </c>
      <c r="P122" s="222">
        <f t="shared" si="18"/>
        <v>0</v>
      </c>
      <c r="Q122" s="221">
        <v>0</v>
      </c>
      <c r="R122" s="221">
        <v>0</v>
      </c>
      <c r="S122" s="221">
        <v>0</v>
      </c>
      <c r="T122" s="221">
        <v>0</v>
      </c>
      <c r="U122" s="221">
        <f t="shared" si="19"/>
        <v>0</v>
      </c>
      <c r="V122" s="221">
        <f t="shared" si="20"/>
        <v>162718.81</v>
      </c>
      <c r="W122" s="172">
        <v>0</v>
      </c>
      <c r="X122" s="172">
        <f t="shared" si="21"/>
        <v>162718.81</v>
      </c>
      <c r="Y122" s="173">
        <v>0</v>
      </c>
      <c r="Z122" s="172">
        <f t="shared" si="22"/>
        <v>162718.81</v>
      </c>
    </row>
    <row r="123" spans="1:26" ht="12.75" hidden="1" outlineLevel="1">
      <c r="A123" s="172" t="s">
        <v>2206</v>
      </c>
      <c r="C123" s="173" t="s">
        <v>2207</v>
      </c>
      <c r="D123" s="173" t="s">
        <v>2208</v>
      </c>
      <c r="E123" s="172">
        <v>0</v>
      </c>
      <c r="F123" s="172">
        <v>49119.19</v>
      </c>
      <c r="G123" s="221">
        <f t="shared" si="16"/>
        <v>49119.19</v>
      </c>
      <c r="H123" s="222">
        <v>8961.81</v>
      </c>
      <c r="I123" s="222">
        <v>0</v>
      </c>
      <c r="J123" s="222">
        <v>0</v>
      </c>
      <c r="K123" s="222">
        <v>0</v>
      </c>
      <c r="L123" s="222">
        <f t="shared" si="17"/>
        <v>0</v>
      </c>
      <c r="M123" s="222">
        <v>0</v>
      </c>
      <c r="N123" s="222">
        <v>0</v>
      </c>
      <c r="O123" s="222">
        <v>0</v>
      </c>
      <c r="P123" s="222">
        <f t="shared" si="18"/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f t="shared" si="19"/>
        <v>0</v>
      </c>
      <c r="V123" s="221">
        <f t="shared" si="20"/>
        <v>58081</v>
      </c>
      <c r="W123" s="172">
        <v>0</v>
      </c>
      <c r="X123" s="172">
        <f t="shared" si="21"/>
        <v>58081</v>
      </c>
      <c r="Y123" s="173">
        <v>0</v>
      </c>
      <c r="Z123" s="172">
        <f t="shared" si="22"/>
        <v>58081</v>
      </c>
    </row>
    <row r="124" spans="1:26" ht="12.75" hidden="1" outlineLevel="1">
      <c r="A124" s="172" t="s">
        <v>2209</v>
      </c>
      <c r="C124" s="173" t="s">
        <v>2210</v>
      </c>
      <c r="D124" s="173" t="s">
        <v>2211</v>
      </c>
      <c r="E124" s="172">
        <v>0</v>
      </c>
      <c r="F124" s="172">
        <v>18155.97</v>
      </c>
      <c r="G124" s="221">
        <f t="shared" si="16"/>
        <v>18155.97</v>
      </c>
      <c r="H124" s="222">
        <v>1657.21</v>
      </c>
      <c r="I124" s="222">
        <v>0</v>
      </c>
      <c r="J124" s="222">
        <v>0</v>
      </c>
      <c r="K124" s="222">
        <v>0</v>
      </c>
      <c r="L124" s="222">
        <f t="shared" si="17"/>
        <v>0</v>
      </c>
      <c r="M124" s="222">
        <v>0</v>
      </c>
      <c r="N124" s="222">
        <v>0</v>
      </c>
      <c r="O124" s="222">
        <v>0</v>
      </c>
      <c r="P124" s="222">
        <f t="shared" si="18"/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f t="shared" si="19"/>
        <v>0</v>
      </c>
      <c r="V124" s="221">
        <f t="shared" si="20"/>
        <v>19813.18</v>
      </c>
      <c r="W124" s="172">
        <v>0</v>
      </c>
      <c r="X124" s="172">
        <f t="shared" si="21"/>
        <v>19813.18</v>
      </c>
      <c r="Y124" s="173">
        <v>0</v>
      </c>
      <c r="Z124" s="172">
        <f t="shared" si="22"/>
        <v>19813.18</v>
      </c>
    </row>
    <row r="125" spans="1:26" ht="12.75" hidden="1" outlineLevel="1">
      <c r="A125" s="172" t="s">
        <v>2212</v>
      </c>
      <c r="C125" s="173" t="s">
        <v>2213</v>
      </c>
      <c r="D125" s="173" t="s">
        <v>2214</v>
      </c>
      <c r="E125" s="172">
        <v>0</v>
      </c>
      <c r="F125" s="172">
        <v>1826.53</v>
      </c>
      <c r="G125" s="221">
        <f t="shared" si="16"/>
        <v>1826.53</v>
      </c>
      <c r="H125" s="222">
        <v>113.12</v>
      </c>
      <c r="I125" s="222">
        <v>0</v>
      </c>
      <c r="J125" s="222">
        <v>0</v>
      </c>
      <c r="K125" s="222">
        <v>0</v>
      </c>
      <c r="L125" s="222">
        <f t="shared" si="17"/>
        <v>0</v>
      </c>
      <c r="M125" s="222">
        <v>0</v>
      </c>
      <c r="N125" s="222">
        <v>0</v>
      </c>
      <c r="O125" s="222">
        <v>0</v>
      </c>
      <c r="P125" s="222">
        <f t="shared" si="18"/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f t="shared" si="19"/>
        <v>0</v>
      </c>
      <c r="V125" s="221">
        <f t="shared" si="20"/>
        <v>1939.65</v>
      </c>
      <c r="W125" s="172">
        <v>0</v>
      </c>
      <c r="X125" s="172">
        <f t="shared" si="21"/>
        <v>1939.65</v>
      </c>
      <c r="Y125" s="173">
        <v>0</v>
      </c>
      <c r="Z125" s="172">
        <f t="shared" si="22"/>
        <v>1939.65</v>
      </c>
    </row>
    <row r="126" spans="1:26" ht="12.75" hidden="1" outlineLevel="1">
      <c r="A126" s="172" t="s">
        <v>2215</v>
      </c>
      <c r="C126" s="173" t="s">
        <v>2216</v>
      </c>
      <c r="D126" s="173" t="s">
        <v>2217</v>
      </c>
      <c r="E126" s="172">
        <v>0</v>
      </c>
      <c r="F126" s="172">
        <v>7108.33</v>
      </c>
      <c r="G126" s="221">
        <f t="shared" si="16"/>
        <v>7108.33</v>
      </c>
      <c r="H126" s="222">
        <v>9.35</v>
      </c>
      <c r="I126" s="222">
        <v>0</v>
      </c>
      <c r="J126" s="222">
        <v>0</v>
      </c>
      <c r="K126" s="222">
        <v>0</v>
      </c>
      <c r="L126" s="222">
        <f t="shared" si="17"/>
        <v>0</v>
      </c>
      <c r="M126" s="222">
        <v>0</v>
      </c>
      <c r="N126" s="222">
        <v>0</v>
      </c>
      <c r="O126" s="222">
        <v>0</v>
      </c>
      <c r="P126" s="222">
        <f t="shared" si="18"/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f t="shared" si="19"/>
        <v>0</v>
      </c>
      <c r="V126" s="221">
        <f t="shared" si="20"/>
        <v>7117.68</v>
      </c>
      <c r="W126" s="172">
        <v>0</v>
      </c>
      <c r="X126" s="172">
        <f t="shared" si="21"/>
        <v>7117.68</v>
      </c>
      <c r="Y126" s="173">
        <v>0</v>
      </c>
      <c r="Z126" s="172">
        <f t="shared" si="22"/>
        <v>7117.68</v>
      </c>
    </row>
    <row r="127" spans="1:26" ht="12.75" hidden="1" outlineLevel="1">
      <c r="A127" s="172" t="s">
        <v>2218</v>
      </c>
      <c r="C127" s="173" t="s">
        <v>2219</v>
      </c>
      <c r="D127" s="173" t="s">
        <v>2220</v>
      </c>
      <c r="E127" s="172">
        <v>0</v>
      </c>
      <c r="F127" s="172">
        <v>5927.49</v>
      </c>
      <c r="G127" s="221">
        <f t="shared" si="16"/>
        <v>5927.49</v>
      </c>
      <c r="H127" s="222">
        <v>156</v>
      </c>
      <c r="I127" s="222">
        <v>0</v>
      </c>
      <c r="J127" s="222">
        <v>0</v>
      </c>
      <c r="K127" s="222">
        <v>0</v>
      </c>
      <c r="L127" s="222">
        <f t="shared" si="17"/>
        <v>0</v>
      </c>
      <c r="M127" s="222">
        <v>0</v>
      </c>
      <c r="N127" s="222">
        <v>0</v>
      </c>
      <c r="O127" s="222">
        <v>0</v>
      </c>
      <c r="P127" s="222">
        <f t="shared" si="18"/>
        <v>0</v>
      </c>
      <c r="Q127" s="221">
        <v>0</v>
      </c>
      <c r="R127" s="221">
        <v>0</v>
      </c>
      <c r="S127" s="221">
        <v>0</v>
      </c>
      <c r="T127" s="221">
        <v>0</v>
      </c>
      <c r="U127" s="221">
        <f t="shared" si="19"/>
        <v>0</v>
      </c>
      <c r="V127" s="221">
        <f t="shared" si="20"/>
        <v>6083.49</v>
      </c>
      <c r="W127" s="172">
        <v>0</v>
      </c>
      <c r="X127" s="172">
        <f t="shared" si="21"/>
        <v>6083.49</v>
      </c>
      <c r="Y127" s="173">
        <v>0</v>
      </c>
      <c r="Z127" s="172">
        <f t="shared" si="22"/>
        <v>6083.49</v>
      </c>
    </row>
    <row r="128" spans="1:26" ht="12.75" hidden="1" outlineLevel="1">
      <c r="A128" s="172" t="s">
        <v>2221</v>
      </c>
      <c r="C128" s="173" t="s">
        <v>2222</v>
      </c>
      <c r="D128" s="173" t="s">
        <v>2223</v>
      </c>
      <c r="E128" s="172">
        <v>0</v>
      </c>
      <c r="F128" s="172">
        <v>529325.5</v>
      </c>
      <c r="G128" s="221">
        <f aca="true" t="shared" si="23" ref="G128:G191">E128+F128</f>
        <v>529325.5</v>
      </c>
      <c r="H128" s="222">
        <v>124325.69</v>
      </c>
      <c r="I128" s="222">
        <v>0</v>
      </c>
      <c r="J128" s="222">
        <v>0</v>
      </c>
      <c r="K128" s="222">
        <v>0</v>
      </c>
      <c r="L128" s="222">
        <f aca="true" t="shared" si="24" ref="L128:L191">J128+I128+K128</f>
        <v>0</v>
      </c>
      <c r="M128" s="222">
        <v>0</v>
      </c>
      <c r="N128" s="222">
        <v>0</v>
      </c>
      <c r="O128" s="222">
        <v>0</v>
      </c>
      <c r="P128" s="222">
        <f aca="true" t="shared" si="25" ref="P128:P191">M128+N128+O128</f>
        <v>0</v>
      </c>
      <c r="Q128" s="221">
        <v>45.6</v>
      </c>
      <c r="R128" s="221">
        <v>49.67</v>
      </c>
      <c r="S128" s="221">
        <v>0</v>
      </c>
      <c r="T128" s="221">
        <v>0</v>
      </c>
      <c r="U128" s="221">
        <f aca="true" t="shared" si="26" ref="U128:U191">Q128+R128+S128+T128</f>
        <v>95.27000000000001</v>
      </c>
      <c r="V128" s="221">
        <f aca="true" t="shared" si="27" ref="V128:V191">G128+H128+L128+P128+U128</f>
        <v>653746.46</v>
      </c>
      <c r="W128" s="172">
        <v>0</v>
      </c>
      <c r="X128" s="172">
        <f aca="true" t="shared" si="28" ref="X128:X191">V128+W128</f>
        <v>653746.46</v>
      </c>
      <c r="Y128" s="173">
        <v>0</v>
      </c>
      <c r="Z128" s="172">
        <f aca="true" t="shared" si="29" ref="Z128:Z191">X128+Y128</f>
        <v>653746.46</v>
      </c>
    </row>
    <row r="129" spans="1:26" ht="12.75" hidden="1" outlineLevel="1">
      <c r="A129" s="172" t="s">
        <v>2224</v>
      </c>
      <c r="C129" s="173" t="s">
        <v>2225</v>
      </c>
      <c r="D129" s="173" t="s">
        <v>2226</v>
      </c>
      <c r="E129" s="172">
        <v>0</v>
      </c>
      <c r="F129" s="172">
        <v>9778.43</v>
      </c>
      <c r="G129" s="221">
        <f t="shared" si="23"/>
        <v>9778.43</v>
      </c>
      <c r="H129" s="222">
        <v>10364.03</v>
      </c>
      <c r="I129" s="222">
        <v>0</v>
      </c>
      <c r="J129" s="222">
        <v>0</v>
      </c>
      <c r="K129" s="222">
        <v>0</v>
      </c>
      <c r="L129" s="222">
        <f t="shared" si="24"/>
        <v>0</v>
      </c>
      <c r="M129" s="222">
        <v>0</v>
      </c>
      <c r="N129" s="222">
        <v>0</v>
      </c>
      <c r="O129" s="222">
        <v>0</v>
      </c>
      <c r="P129" s="222">
        <f t="shared" si="25"/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f t="shared" si="26"/>
        <v>0</v>
      </c>
      <c r="V129" s="221">
        <f t="shared" si="27"/>
        <v>20142.46</v>
      </c>
      <c r="W129" s="172">
        <v>0</v>
      </c>
      <c r="X129" s="172">
        <f t="shared" si="28"/>
        <v>20142.46</v>
      </c>
      <c r="Y129" s="173">
        <v>0</v>
      </c>
      <c r="Z129" s="172">
        <f t="shared" si="29"/>
        <v>20142.46</v>
      </c>
    </row>
    <row r="130" spans="1:26" ht="12.75" hidden="1" outlineLevel="1">
      <c r="A130" s="172" t="s">
        <v>2227</v>
      </c>
      <c r="C130" s="173" t="s">
        <v>2228</v>
      </c>
      <c r="D130" s="173" t="s">
        <v>2229</v>
      </c>
      <c r="E130" s="172">
        <v>0</v>
      </c>
      <c r="F130" s="172">
        <v>4485.54</v>
      </c>
      <c r="G130" s="221">
        <f t="shared" si="23"/>
        <v>4485.54</v>
      </c>
      <c r="H130" s="222">
        <v>880.21</v>
      </c>
      <c r="I130" s="222">
        <v>0</v>
      </c>
      <c r="J130" s="222">
        <v>0</v>
      </c>
      <c r="K130" s="222">
        <v>0</v>
      </c>
      <c r="L130" s="222">
        <f t="shared" si="24"/>
        <v>0</v>
      </c>
      <c r="M130" s="222">
        <v>0</v>
      </c>
      <c r="N130" s="222">
        <v>0</v>
      </c>
      <c r="O130" s="222">
        <v>0</v>
      </c>
      <c r="P130" s="222">
        <f t="shared" si="25"/>
        <v>0</v>
      </c>
      <c r="Q130" s="221">
        <v>0</v>
      </c>
      <c r="R130" s="221">
        <v>0</v>
      </c>
      <c r="S130" s="221">
        <v>0</v>
      </c>
      <c r="T130" s="221">
        <v>0</v>
      </c>
      <c r="U130" s="221">
        <f t="shared" si="26"/>
        <v>0</v>
      </c>
      <c r="V130" s="221">
        <f t="shared" si="27"/>
        <v>5365.75</v>
      </c>
      <c r="W130" s="172">
        <v>0</v>
      </c>
      <c r="X130" s="172">
        <f t="shared" si="28"/>
        <v>5365.75</v>
      </c>
      <c r="Y130" s="173">
        <v>0</v>
      </c>
      <c r="Z130" s="172">
        <f t="shared" si="29"/>
        <v>5365.75</v>
      </c>
    </row>
    <row r="131" spans="1:26" ht="12.75" hidden="1" outlineLevel="1">
      <c r="A131" s="172" t="s">
        <v>2230</v>
      </c>
      <c r="C131" s="173" t="s">
        <v>2231</v>
      </c>
      <c r="D131" s="173" t="s">
        <v>2232</v>
      </c>
      <c r="E131" s="172">
        <v>0</v>
      </c>
      <c r="F131" s="172">
        <v>7884.05</v>
      </c>
      <c r="G131" s="221">
        <f t="shared" si="23"/>
        <v>7884.05</v>
      </c>
      <c r="H131" s="222">
        <v>11682.13</v>
      </c>
      <c r="I131" s="222">
        <v>0</v>
      </c>
      <c r="J131" s="222">
        <v>0</v>
      </c>
      <c r="K131" s="222">
        <v>0</v>
      </c>
      <c r="L131" s="222">
        <f t="shared" si="24"/>
        <v>0</v>
      </c>
      <c r="M131" s="222">
        <v>0</v>
      </c>
      <c r="N131" s="222">
        <v>0</v>
      </c>
      <c r="O131" s="222">
        <v>0</v>
      </c>
      <c r="P131" s="222">
        <f t="shared" si="25"/>
        <v>0</v>
      </c>
      <c r="Q131" s="221">
        <v>0</v>
      </c>
      <c r="R131" s="221">
        <v>0</v>
      </c>
      <c r="S131" s="221">
        <v>0</v>
      </c>
      <c r="T131" s="221">
        <v>0</v>
      </c>
      <c r="U131" s="221">
        <f t="shared" si="26"/>
        <v>0</v>
      </c>
      <c r="V131" s="221">
        <f t="shared" si="27"/>
        <v>19566.18</v>
      </c>
      <c r="W131" s="172">
        <v>0</v>
      </c>
      <c r="X131" s="172">
        <f t="shared" si="28"/>
        <v>19566.18</v>
      </c>
      <c r="Y131" s="173">
        <v>0</v>
      </c>
      <c r="Z131" s="172">
        <f t="shared" si="29"/>
        <v>19566.18</v>
      </c>
    </row>
    <row r="132" spans="1:26" ht="12.75" hidden="1" outlineLevel="1">
      <c r="A132" s="172" t="s">
        <v>2233</v>
      </c>
      <c r="C132" s="173" t="s">
        <v>2234</v>
      </c>
      <c r="D132" s="173" t="s">
        <v>2235</v>
      </c>
      <c r="E132" s="172">
        <v>0</v>
      </c>
      <c r="F132" s="172">
        <v>1371.58</v>
      </c>
      <c r="G132" s="221">
        <f t="shared" si="23"/>
        <v>1371.58</v>
      </c>
      <c r="H132" s="222">
        <v>3301.89</v>
      </c>
      <c r="I132" s="222">
        <v>0</v>
      </c>
      <c r="J132" s="222">
        <v>0</v>
      </c>
      <c r="K132" s="222">
        <v>0</v>
      </c>
      <c r="L132" s="222">
        <f t="shared" si="24"/>
        <v>0</v>
      </c>
      <c r="M132" s="222">
        <v>0</v>
      </c>
      <c r="N132" s="222">
        <v>0</v>
      </c>
      <c r="O132" s="222">
        <v>0</v>
      </c>
      <c r="P132" s="222">
        <f t="shared" si="25"/>
        <v>0</v>
      </c>
      <c r="Q132" s="221">
        <v>0</v>
      </c>
      <c r="R132" s="221">
        <v>0</v>
      </c>
      <c r="S132" s="221">
        <v>0</v>
      </c>
      <c r="T132" s="221">
        <v>0</v>
      </c>
      <c r="U132" s="221">
        <f t="shared" si="26"/>
        <v>0</v>
      </c>
      <c r="V132" s="221">
        <f t="shared" si="27"/>
        <v>4673.469999999999</v>
      </c>
      <c r="W132" s="172">
        <v>0</v>
      </c>
      <c r="X132" s="172">
        <f t="shared" si="28"/>
        <v>4673.469999999999</v>
      </c>
      <c r="Y132" s="173">
        <v>0</v>
      </c>
      <c r="Z132" s="172">
        <f t="shared" si="29"/>
        <v>4673.469999999999</v>
      </c>
    </row>
    <row r="133" spans="1:26" ht="12.75" hidden="1" outlineLevel="1">
      <c r="A133" s="172" t="s">
        <v>2236</v>
      </c>
      <c r="C133" s="173" t="s">
        <v>2237</v>
      </c>
      <c r="D133" s="173" t="s">
        <v>2238</v>
      </c>
      <c r="E133" s="172">
        <v>0</v>
      </c>
      <c r="F133" s="172">
        <v>71343.55</v>
      </c>
      <c r="G133" s="221">
        <f t="shared" si="23"/>
        <v>71343.55</v>
      </c>
      <c r="H133" s="222">
        <v>5689.3</v>
      </c>
      <c r="I133" s="222">
        <v>0</v>
      </c>
      <c r="J133" s="222">
        <v>0</v>
      </c>
      <c r="K133" s="222">
        <v>0</v>
      </c>
      <c r="L133" s="222">
        <f t="shared" si="24"/>
        <v>0</v>
      </c>
      <c r="M133" s="222">
        <v>0</v>
      </c>
      <c r="N133" s="222">
        <v>0</v>
      </c>
      <c r="O133" s="222">
        <v>0</v>
      </c>
      <c r="P133" s="222">
        <f t="shared" si="25"/>
        <v>0</v>
      </c>
      <c r="Q133" s="221">
        <v>2.96</v>
      </c>
      <c r="R133" s="221">
        <v>0</v>
      </c>
      <c r="S133" s="221">
        <v>0</v>
      </c>
      <c r="T133" s="221">
        <v>0</v>
      </c>
      <c r="U133" s="221">
        <f t="shared" si="26"/>
        <v>2.96</v>
      </c>
      <c r="V133" s="221">
        <f t="shared" si="27"/>
        <v>77035.81000000001</v>
      </c>
      <c r="W133" s="172">
        <v>0</v>
      </c>
      <c r="X133" s="172">
        <f t="shared" si="28"/>
        <v>77035.81000000001</v>
      </c>
      <c r="Y133" s="173">
        <v>0</v>
      </c>
      <c r="Z133" s="172">
        <f t="shared" si="29"/>
        <v>77035.81000000001</v>
      </c>
    </row>
    <row r="134" spans="1:26" ht="12.75" hidden="1" outlineLevel="1">
      <c r="A134" s="172" t="s">
        <v>2239</v>
      </c>
      <c r="C134" s="173" t="s">
        <v>2240</v>
      </c>
      <c r="D134" s="173" t="s">
        <v>2241</v>
      </c>
      <c r="E134" s="172">
        <v>0</v>
      </c>
      <c r="F134" s="172">
        <v>1350657.2</v>
      </c>
      <c r="G134" s="221">
        <f t="shared" si="23"/>
        <v>1350657.2</v>
      </c>
      <c r="H134" s="222">
        <v>68617.38</v>
      </c>
      <c r="I134" s="222">
        <v>0</v>
      </c>
      <c r="J134" s="222">
        <v>0</v>
      </c>
      <c r="K134" s="222">
        <v>0</v>
      </c>
      <c r="L134" s="222">
        <f t="shared" si="24"/>
        <v>0</v>
      </c>
      <c r="M134" s="222">
        <v>0</v>
      </c>
      <c r="N134" s="222">
        <v>0</v>
      </c>
      <c r="O134" s="222">
        <v>0</v>
      </c>
      <c r="P134" s="222">
        <f t="shared" si="25"/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f t="shared" si="26"/>
        <v>0</v>
      </c>
      <c r="V134" s="221">
        <f t="shared" si="27"/>
        <v>1419274.58</v>
      </c>
      <c r="W134" s="172">
        <v>0</v>
      </c>
      <c r="X134" s="172">
        <f t="shared" si="28"/>
        <v>1419274.58</v>
      </c>
      <c r="Y134" s="173">
        <v>0</v>
      </c>
      <c r="Z134" s="172">
        <f t="shared" si="29"/>
        <v>1419274.58</v>
      </c>
    </row>
    <row r="135" spans="1:26" ht="12.75" hidden="1" outlineLevel="1">
      <c r="A135" s="172" t="s">
        <v>2242</v>
      </c>
      <c r="C135" s="173" t="s">
        <v>2243</v>
      </c>
      <c r="D135" s="173" t="s">
        <v>2244</v>
      </c>
      <c r="E135" s="172">
        <v>0</v>
      </c>
      <c r="F135" s="172">
        <v>23600.64</v>
      </c>
      <c r="G135" s="221">
        <f t="shared" si="23"/>
        <v>23600.64</v>
      </c>
      <c r="H135" s="222">
        <v>225.81</v>
      </c>
      <c r="I135" s="222">
        <v>0</v>
      </c>
      <c r="J135" s="222">
        <v>0</v>
      </c>
      <c r="K135" s="222">
        <v>0</v>
      </c>
      <c r="L135" s="222">
        <f t="shared" si="24"/>
        <v>0</v>
      </c>
      <c r="M135" s="222">
        <v>0</v>
      </c>
      <c r="N135" s="222">
        <v>0</v>
      </c>
      <c r="O135" s="222">
        <v>0</v>
      </c>
      <c r="P135" s="222">
        <f t="shared" si="25"/>
        <v>0</v>
      </c>
      <c r="Q135" s="221">
        <v>0</v>
      </c>
      <c r="R135" s="221">
        <v>0</v>
      </c>
      <c r="S135" s="221">
        <v>0</v>
      </c>
      <c r="T135" s="221">
        <v>0</v>
      </c>
      <c r="U135" s="221">
        <f t="shared" si="26"/>
        <v>0</v>
      </c>
      <c r="V135" s="221">
        <f t="shared" si="27"/>
        <v>23826.45</v>
      </c>
      <c r="W135" s="172">
        <v>0</v>
      </c>
      <c r="X135" s="172">
        <f t="shared" si="28"/>
        <v>23826.45</v>
      </c>
      <c r="Y135" s="173">
        <v>0</v>
      </c>
      <c r="Z135" s="172">
        <f t="shared" si="29"/>
        <v>23826.45</v>
      </c>
    </row>
    <row r="136" spans="1:26" ht="12.75" hidden="1" outlineLevel="1">
      <c r="A136" s="172" t="s">
        <v>2245</v>
      </c>
      <c r="C136" s="173" t="s">
        <v>2246</v>
      </c>
      <c r="D136" s="173" t="s">
        <v>2247</v>
      </c>
      <c r="E136" s="172">
        <v>0</v>
      </c>
      <c r="F136" s="172">
        <v>23833.5</v>
      </c>
      <c r="G136" s="221">
        <f t="shared" si="23"/>
        <v>23833.5</v>
      </c>
      <c r="H136" s="222">
        <v>295</v>
      </c>
      <c r="I136" s="222">
        <v>0</v>
      </c>
      <c r="J136" s="222">
        <v>0</v>
      </c>
      <c r="K136" s="222">
        <v>0</v>
      </c>
      <c r="L136" s="222">
        <f t="shared" si="24"/>
        <v>0</v>
      </c>
      <c r="M136" s="222">
        <v>0</v>
      </c>
      <c r="N136" s="222">
        <v>0</v>
      </c>
      <c r="O136" s="222">
        <v>0</v>
      </c>
      <c r="P136" s="222">
        <f t="shared" si="25"/>
        <v>0</v>
      </c>
      <c r="Q136" s="221">
        <v>0</v>
      </c>
      <c r="R136" s="221">
        <v>0</v>
      </c>
      <c r="S136" s="221">
        <v>0</v>
      </c>
      <c r="T136" s="221">
        <v>0</v>
      </c>
      <c r="U136" s="221">
        <f t="shared" si="26"/>
        <v>0</v>
      </c>
      <c r="V136" s="221">
        <f t="shared" si="27"/>
        <v>24128.5</v>
      </c>
      <c r="W136" s="172">
        <v>0</v>
      </c>
      <c r="X136" s="172">
        <f t="shared" si="28"/>
        <v>24128.5</v>
      </c>
      <c r="Y136" s="173">
        <v>0</v>
      </c>
      <c r="Z136" s="172">
        <f t="shared" si="29"/>
        <v>24128.5</v>
      </c>
    </row>
    <row r="137" spans="1:26" ht="12.75" hidden="1" outlineLevel="1">
      <c r="A137" s="172" t="s">
        <v>2248</v>
      </c>
      <c r="C137" s="173" t="s">
        <v>2249</v>
      </c>
      <c r="D137" s="173" t="s">
        <v>2250</v>
      </c>
      <c r="E137" s="172">
        <v>0</v>
      </c>
      <c r="F137" s="172">
        <v>521.55</v>
      </c>
      <c r="G137" s="221">
        <f t="shared" si="23"/>
        <v>521.55</v>
      </c>
      <c r="H137" s="222">
        <v>12077.49</v>
      </c>
      <c r="I137" s="222">
        <v>0</v>
      </c>
      <c r="J137" s="222">
        <v>0</v>
      </c>
      <c r="K137" s="222">
        <v>0</v>
      </c>
      <c r="L137" s="222">
        <f t="shared" si="24"/>
        <v>0</v>
      </c>
      <c r="M137" s="222">
        <v>0</v>
      </c>
      <c r="N137" s="222">
        <v>0</v>
      </c>
      <c r="O137" s="222">
        <v>0</v>
      </c>
      <c r="P137" s="222">
        <f t="shared" si="25"/>
        <v>0</v>
      </c>
      <c r="Q137" s="221">
        <v>0</v>
      </c>
      <c r="R137" s="221">
        <v>0</v>
      </c>
      <c r="S137" s="221">
        <v>0</v>
      </c>
      <c r="T137" s="221">
        <v>0</v>
      </c>
      <c r="U137" s="221">
        <f t="shared" si="26"/>
        <v>0</v>
      </c>
      <c r="V137" s="221">
        <f t="shared" si="27"/>
        <v>12599.039999999999</v>
      </c>
      <c r="W137" s="172">
        <v>0</v>
      </c>
      <c r="X137" s="172">
        <f t="shared" si="28"/>
        <v>12599.039999999999</v>
      </c>
      <c r="Y137" s="173">
        <v>0</v>
      </c>
      <c r="Z137" s="172">
        <f t="shared" si="29"/>
        <v>12599.039999999999</v>
      </c>
    </row>
    <row r="138" spans="1:26" ht="12.75" hidden="1" outlineLevel="1">
      <c r="A138" s="172" t="s">
        <v>2251</v>
      </c>
      <c r="C138" s="173" t="s">
        <v>2252</v>
      </c>
      <c r="D138" s="173" t="s">
        <v>2253</v>
      </c>
      <c r="E138" s="172">
        <v>0</v>
      </c>
      <c r="F138" s="172">
        <v>9047.44</v>
      </c>
      <c r="G138" s="221">
        <f t="shared" si="23"/>
        <v>9047.44</v>
      </c>
      <c r="H138" s="222">
        <v>1642.07</v>
      </c>
      <c r="I138" s="222">
        <v>0</v>
      </c>
      <c r="J138" s="222">
        <v>0</v>
      </c>
      <c r="K138" s="222">
        <v>0</v>
      </c>
      <c r="L138" s="222">
        <f t="shared" si="24"/>
        <v>0</v>
      </c>
      <c r="M138" s="222">
        <v>0</v>
      </c>
      <c r="N138" s="222">
        <v>0</v>
      </c>
      <c r="O138" s="222">
        <v>0</v>
      </c>
      <c r="P138" s="222">
        <f t="shared" si="25"/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f t="shared" si="26"/>
        <v>0</v>
      </c>
      <c r="V138" s="221">
        <f t="shared" si="27"/>
        <v>10689.51</v>
      </c>
      <c r="W138" s="172">
        <v>0</v>
      </c>
      <c r="X138" s="172">
        <f t="shared" si="28"/>
        <v>10689.51</v>
      </c>
      <c r="Y138" s="173">
        <v>0</v>
      </c>
      <c r="Z138" s="172">
        <f t="shared" si="29"/>
        <v>10689.51</v>
      </c>
    </row>
    <row r="139" spans="1:26" ht="12.75" hidden="1" outlineLevel="1">
      <c r="A139" s="172" t="s">
        <v>2254</v>
      </c>
      <c r="C139" s="173" t="s">
        <v>2255</v>
      </c>
      <c r="D139" s="173" t="s">
        <v>2256</v>
      </c>
      <c r="E139" s="172">
        <v>0</v>
      </c>
      <c r="F139" s="172">
        <v>22186.2</v>
      </c>
      <c r="G139" s="221">
        <f t="shared" si="23"/>
        <v>22186.2</v>
      </c>
      <c r="H139" s="222">
        <v>281</v>
      </c>
      <c r="I139" s="222">
        <v>0</v>
      </c>
      <c r="J139" s="222">
        <v>0</v>
      </c>
      <c r="K139" s="222">
        <v>0</v>
      </c>
      <c r="L139" s="222">
        <f t="shared" si="24"/>
        <v>0</v>
      </c>
      <c r="M139" s="222">
        <v>0</v>
      </c>
      <c r="N139" s="222">
        <v>0</v>
      </c>
      <c r="O139" s="222">
        <v>0</v>
      </c>
      <c r="P139" s="222">
        <f t="shared" si="25"/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f t="shared" si="26"/>
        <v>0</v>
      </c>
      <c r="V139" s="221">
        <f t="shared" si="27"/>
        <v>22467.2</v>
      </c>
      <c r="W139" s="172">
        <v>0</v>
      </c>
      <c r="X139" s="172">
        <f t="shared" si="28"/>
        <v>22467.2</v>
      </c>
      <c r="Y139" s="173">
        <v>0</v>
      </c>
      <c r="Z139" s="172">
        <f t="shared" si="29"/>
        <v>22467.2</v>
      </c>
    </row>
    <row r="140" spans="1:26" ht="12.75" hidden="1" outlineLevel="1">
      <c r="A140" s="172" t="s">
        <v>2257</v>
      </c>
      <c r="C140" s="173" t="s">
        <v>2258</v>
      </c>
      <c r="D140" s="173" t="s">
        <v>2259</v>
      </c>
      <c r="E140" s="172">
        <v>0</v>
      </c>
      <c r="F140" s="172">
        <v>96590.13</v>
      </c>
      <c r="G140" s="221">
        <f t="shared" si="23"/>
        <v>96590.13</v>
      </c>
      <c r="H140" s="222">
        <v>10405.45</v>
      </c>
      <c r="I140" s="222">
        <v>0</v>
      </c>
      <c r="J140" s="222">
        <v>0</v>
      </c>
      <c r="K140" s="222">
        <v>0</v>
      </c>
      <c r="L140" s="222">
        <f t="shared" si="24"/>
        <v>0</v>
      </c>
      <c r="M140" s="222">
        <v>0</v>
      </c>
      <c r="N140" s="222">
        <v>0</v>
      </c>
      <c r="O140" s="222">
        <v>0</v>
      </c>
      <c r="P140" s="222">
        <f t="shared" si="25"/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f t="shared" si="26"/>
        <v>0</v>
      </c>
      <c r="V140" s="221">
        <f t="shared" si="27"/>
        <v>106995.58</v>
      </c>
      <c r="W140" s="172">
        <v>0</v>
      </c>
      <c r="X140" s="172">
        <f t="shared" si="28"/>
        <v>106995.58</v>
      </c>
      <c r="Y140" s="173">
        <v>0</v>
      </c>
      <c r="Z140" s="172">
        <f t="shared" si="29"/>
        <v>106995.58</v>
      </c>
    </row>
    <row r="141" spans="1:26" ht="12.75" hidden="1" outlineLevel="1">
      <c r="A141" s="172" t="s">
        <v>2260</v>
      </c>
      <c r="C141" s="173" t="s">
        <v>2261</v>
      </c>
      <c r="D141" s="173" t="s">
        <v>2262</v>
      </c>
      <c r="E141" s="172">
        <v>0</v>
      </c>
      <c r="F141" s="172">
        <v>131.34</v>
      </c>
      <c r="G141" s="221">
        <f t="shared" si="23"/>
        <v>131.34</v>
      </c>
      <c r="H141" s="222">
        <v>0</v>
      </c>
      <c r="I141" s="222">
        <v>0</v>
      </c>
      <c r="J141" s="222">
        <v>0</v>
      </c>
      <c r="K141" s="222">
        <v>0</v>
      </c>
      <c r="L141" s="222">
        <f t="shared" si="24"/>
        <v>0</v>
      </c>
      <c r="M141" s="222">
        <v>0</v>
      </c>
      <c r="N141" s="222">
        <v>0</v>
      </c>
      <c r="O141" s="222">
        <v>0</v>
      </c>
      <c r="P141" s="222">
        <f t="shared" si="25"/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f t="shared" si="26"/>
        <v>0</v>
      </c>
      <c r="V141" s="221">
        <f t="shared" si="27"/>
        <v>131.34</v>
      </c>
      <c r="W141" s="172">
        <v>0</v>
      </c>
      <c r="X141" s="172">
        <f t="shared" si="28"/>
        <v>131.34</v>
      </c>
      <c r="Y141" s="173">
        <v>0</v>
      </c>
      <c r="Z141" s="172">
        <f t="shared" si="29"/>
        <v>131.34</v>
      </c>
    </row>
    <row r="142" spans="1:26" ht="12.75" hidden="1" outlineLevel="1">
      <c r="A142" s="172" t="s">
        <v>2263</v>
      </c>
      <c r="C142" s="173" t="s">
        <v>2264</v>
      </c>
      <c r="D142" s="173" t="s">
        <v>2265</v>
      </c>
      <c r="E142" s="172">
        <v>0</v>
      </c>
      <c r="F142" s="172">
        <v>518540.11</v>
      </c>
      <c r="G142" s="221">
        <f t="shared" si="23"/>
        <v>518540.11</v>
      </c>
      <c r="H142" s="222">
        <v>43136.65</v>
      </c>
      <c r="I142" s="222">
        <v>0</v>
      </c>
      <c r="J142" s="222">
        <v>0</v>
      </c>
      <c r="K142" s="222">
        <v>0</v>
      </c>
      <c r="L142" s="222">
        <f t="shared" si="24"/>
        <v>0</v>
      </c>
      <c r="M142" s="222">
        <v>0</v>
      </c>
      <c r="N142" s="222">
        <v>0</v>
      </c>
      <c r="O142" s="222">
        <v>0</v>
      </c>
      <c r="P142" s="222">
        <f t="shared" si="25"/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f t="shared" si="26"/>
        <v>0</v>
      </c>
      <c r="V142" s="221">
        <f t="shared" si="27"/>
        <v>561676.76</v>
      </c>
      <c r="W142" s="172">
        <v>0</v>
      </c>
      <c r="X142" s="172">
        <f t="shared" si="28"/>
        <v>561676.76</v>
      </c>
      <c r="Y142" s="173">
        <v>0</v>
      </c>
      <c r="Z142" s="172">
        <f t="shared" si="29"/>
        <v>561676.76</v>
      </c>
    </row>
    <row r="143" spans="1:26" ht="12.75" hidden="1" outlineLevel="1">
      <c r="A143" s="172" t="s">
        <v>2266</v>
      </c>
      <c r="C143" s="173" t="s">
        <v>2267</v>
      </c>
      <c r="D143" s="173" t="s">
        <v>2268</v>
      </c>
      <c r="E143" s="172">
        <v>0</v>
      </c>
      <c r="F143" s="172">
        <v>471866.85</v>
      </c>
      <c r="G143" s="221">
        <f t="shared" si="23"/>
        <v>471866.85</v>
      </c>
      <c r="H143" s="222">
        <v>5521.5</v>
      </c>
      <c r="I143" s="222">
        <v>0</v>
      </c>
      <c r="J143" s="222">
        <v>0</v>
      </c>
      <c r="K143" s="222">
        <v>0</v>
      </c>
      <c r="L143" s="222">
        <f t="shared" si="24"/>
        <v>0</v>
      </c>
      <c r="M143" s="222">
        <v>0</v>
      </c>
      <c r="N143" s="222">
        <v>0</v>
      </c>
      <c r="O143" s="222">
        <v>0</v>
      </c>
      <c r="P143" s="222">
        <f t="shared" si="25"/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f t="shared" si="26"/>
        <v>0</v>
      </c>
      <c r="V143" s="221">
        <f t="shared" si="27"/>
        <v>477388.35</v>
      </c>
      <c r="W143" s="172">
        <v>0</v>
      </c>
      <c r="X143" s="172">
        <f t="shared" si="28"/>
        <v>477388.35</v>
      </c>
      <c r="Y143" s="173">
        <v>0</v>
      </c>
      <c r="Z143" s="172">
        <f t="shared" si="29"/>
        <v>477388.35</v>
      </c>
    </row>
    <row r="144" spans="1:26" ht="12.75" hidden="1" outlineLevel="1">
      <c r="A144" s="172" t="s">
        <v>2269</v>
      </c>
      <c r="C144" s="173" t="s">
        <v>2270</v>
      </c>
      <c r="D144" s="173" t="s">
        <v>2271</v>
      </c>
      <c r="E144" s="172">
        <v>0</v>
      </c>
      <c r="F144" s="172">
        <v>164</v>
      </c>
      <c r="G144" s="221">
        <f t="shared" si="23"/>
        <v>164</v>
      </c>
      <c r="H144" s="222">
        <v>0</v>
      </c>
      <c r="I144" s="222">
        <v>0</v>
      </c>
      <c r="J144" s="222">
        <v>0</v>
      </c>
      <c r="K144" s="222">
        <v>0</v>
      </c>
      <c r="L144" s="222">
        <f t="shared" si="24"/>
        <v>0</v>
      </c>
      <c r="M144" s="222">
        <v>0</v>
      </c>
      <c r="N144" s="222">
        <v>0</v>
      </c>
      <c r="O144" s="222">
        <v>0</v>
      </c>
      <c r="P144" s="222">
        <f t="shared" si="25"/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f t="shared" si="26"/>
        <v>0</v>
      </c>
      <c r="V144" s="221">
        <f t="shared" si="27"/>
        <v>164</v>
      </c>
      <c r="W144" s="172">
        <v>0</v>
      </c>
      <c r="X144" s="172">
        <f t="shared" si="28"/>
        <v>164</v>
      </c>
      <c r="Y144" s="173">
        <v>0</v>
      </c>
      <c r="Z144" s="172">
        <f t="shared" si="29"/>
        <v>164</v>
      </c>
    </row>
    <row r="145" spans="1:26" ht="12.75" hidden="1" outlineLevel="1">
      <c r="A145" s="172" t="s">
        <v>2272</v>
      </c>
      <c r="C145" s="173" t="s">
        <v>2273</v>
      </c>
      <c r="D145" s="173" t="s">
        <v>2274</v>
      </c>
      <c r="E145" s="172">
        <v>0</v>
      </c>
      <c r="F145" s="172">
        <v>751921.11</v>
      </c>
      <c r="G145" s="221">
        <f t="shared" si="23"/>
        <v>751921.11</v>
      </c>
      <c r="H145" s="222">
        <v>705</v>
      </c>
      <c r="I145" s="222">
        <v>0</v>
      </c>
      <c r="J145" s="222">
        <v>0</v>
      </c>
      <c r="K145" s="222">
        <v>0</v>
      </c>
      <c r="L145" s="222">
        <f t="shared" si="24"/>
        <v>0</v>
      </c>
      <c r="M145" s="222">
        <v>0</v>
      </c>
      <c r="N145" s="222">
        <v>0</v>
      </c>
      <c r="O145" s="222">
        <v>0</v>
      </c>
      <c r="P145" s="222">
        <f t="shared" si="25"/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f t="shared" si="26"/>
        <v>0</v>
      </c>
      <c r="V145" s="221">
        <f t="shared" si="27"/>
        <v>752626.11</v>
      </c>
      <c r="W145" s="172">
        <v>0</v>
      </c>
      <c r="X145" s="172">
        <f t="shared" si="28"/>
        <v>752626.11</v>
      </c>
      <c r="Y145" s="173">
        <v>0</v>
      </c>
      <c r="Z145" s="172">
        <f t="shared" si="29"/>
        <v>752626.11</v>
      </c>
    </row>
    <row r="146" spans="1:26" ht="12.75" hidden="1" outlineLevel="1">
      <c r="A146" s="172" t="s">
        <v>2275</v>
      </c>
      <c r="C146" s="173" t="s">
        <v>2276</v>
      </c>
      <c r="D146" s="173" t="s">
        <v>2277</v>
      </c>
      <c r="E146" s="172">
        <v>0</v>
      </c>
      <c r="F146" s="172">
        <v>693251.95</v>
      </c>
      <c r="G146" s="221">
        <f t="shared" si="23"/>
        <v>693251.95</v>
      </c>
      <c r="H146" s="222">
        <v>11527.88</v>
      </c>
      <c r="I146" s="222">
        <v>0</v>
      </c>
      <c r="J146" s="222">
        <v>0</v>
      </c>
      <c r="K146" s="222">
        <v>0</v>
      </c>
      <c r="L146" s="222">
        <f t="shared" si="24"/>
        <v>0</v>
      </c>
      <c r="M146" s="222">
        <v>0</v>
      </c>
      <c r="N146" s="222">
        <v>0</v>
      </c>
      <c r="O146" s="222">
        <v>0</v>
      </c>
      <c r="P146" s="222">
        <f t="shared" si="25"/>
        <v>0</v>
      </c>
      <c r="Q146" s="221">
        <v>2516.25</v>
      </c>
      <c r="R146" s="221">
        <v>0</v>
      </c>
      <c r="S146" s="221">
        <v>0</v>
      </c>
      <c r="T146" s="221">
        <v>0</v>
      </c>
      <c r="U146" s="221">
        <f t="shared" si="26"/>
        <v>2516.25</v>
      </c>
      <c r="V146" s="221">
        <f t="shared" si="27"/>
        <v>707296.08</v>
      </c>
      <c r="W146" s="172">
        <v>0</v>
      </c>
      <c r="X146" s="172">
        <f t="shared" si="28"/>
        <v>707296.08</v>
      </c>
      <c r="Y146" s="173">
        <v>0</v>
      </c>
      <c r="Z146" s="172">
        <f t="shared" si="29"/>
        <v>707296.08</v>
      </c>
    </row>
    <row r="147" spans="1:26" ht="12.75" hidden="1" outlineLevel="1">
      <c r="A147" s="172" t="s">
        <v>2278</v>
      </c>
      <c r="C147" s="173" t="s">
        <v>2279</v>
      </c>
      <c r="D147" s="173" t="s">
        <v>2280</v>
      </c>
      <c r="E147" s="172">
        <v>0</v>
      </c>
      <c r="F147" s="172">
        <v>162286.37</v>
      </c>
      <c r="G147" s="221">
        <f t="shared" si="23"/>
        <v>162286.37</v>
      </c>
      <c r="H147" s="222">
        <v>5674.94</v>
      </c>
      <c r="I147" s="222">
        <v>0</v>
      </c>
      <c r="J147" s="222">
        <v>0</v>
      </c>
      <c r="K147" s="222">
        <v>0</v>
      </c>
      <c r="L147" s="222">
        <f t="shared" si="24"/>
        <v>0</v>
      </c>
      <c r="M147" s="222">
        <v>0</v>
      </c>
      <c r="N147" s="222">
        <v>0</v>
      </c>
      <c r="O147" s="222">
        <v>0</v>
      </c>
      <c r="P147" s="222">
        <f t="shared" si="25"/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f t="shared" si="26"/>
        <v>0</v>
      </c>
      <c r="V147" s="221">
        <f t="shared" si="27"/>
        <v>167961.31</v>
      </c>
      <c r="W147" s="172">
        <v>0</v>
      </c>
      <c r="X147" s="172">
        <f t="shared" si="28"/>
        <v>167961.31</v>
      </c>
      <c r="Y147" s="173">
        <v>0</v>
      </c>
      <c r="Z147" s="172">
        <f t="shared" si="29"/>
        <v>167961.31</v>
      </c>
    </row>
    <row r="148" spans="1:26" ht="12.75" hidden="1" outlineLevel="1">
      <c r="A148" s="172" t="s">
        <v>2281</v>
      </c>
      <c r="C148" s="173" t="s">
        <v>2282</v>
      </c>
      <c r="D148" s="173" t="s">
        <v>2283</v>
      </c>
      <c r="E148" s="172">
        <v>0</v>
      </c>
      <c r="F148" s="172">
        <v>690768.73</v>
      </c>
      <c r="G148" s="221">
        <f t="shared" si="23"/>
        <v>690768.73</v>
      </c>
      <c r="H148" s="222">
        <v>7957.18</v>
      </c>
      <c r="I148" s="222">
        <v>0</v>
      </c>
      <c r="J148" s="222">
        <v>0</v>
      </c>
      <c r="K148" s="222">
        <v>0</v>
      </c>
      <c r="L148" s="222">
        <f t="shared" si="24"/>
        <v>0</v>
      </c>
      <c r="M148" s="222">
        <v>0</v>
      </c>
      <c r="N148" s="222">
        <v>0</v>
      </c>
      <c r="O148" s="222">
        <v>0</v>
      </c>
      <c r="P148" s="222">
        <f t="shared" si="25"/>
        <v>0</v>
      </c>
      <c r="Q148" s="221">
        <v>0</v>
      </c>
      <c r="R148" s="221">
        <v>0</v>
      </c>
      <c r="S148" s="221">
        <v>0</v>
      </c>
      <c r="T148" s="221">
        <v>0</v>
      </c>
      <c r="U148" s="221">
        <f t="shared" si="26"/>
        <v>0</v>
      </c>
      <c r="V148" s="221">
        <f t="shared" si="27"/>
        <v>698725.91</v>
      </c>
      <c r="W148" s="172">
        <v>0</v>
      </c>
      <c r="X148" s="172">
        <f t="shared" si="28"/>
        <v>698725.91</v>
      </c>
      <c r="Y148" s="173">
        <v>0</v>
      </c>
      <c r="Z148" s="172">
        <f t="shared" si="29"/>
        <v>698725.91</v>
      </c>
    </row>
    <row r="149" spans="1:26" ht="12.75" hidden="1" outlineLevel="1">
      <c r="A149" s="172" t="s">
        <v>2284</v>
      </c>
      <c r="C149" s="173" t="s">
        <v>2285</v>
      </c>
      <c r="D149" s="173" t="s">
        <v>2286</v>
      </c>
      <c r="E149" s="172">
        <v>0</v>
      </c>
      <c r="F149" s="172">
        <v>778882.22</v>
      </c>
      <c r="G149" s="221">
        <f t="shared" si="23"/>
        <v>778882.22</v>
      </c>
      <c r="H149" s="222">
        <v>73471.01</v>
      </c>
      <c r="I149" s="222">
        <v>0</v>
      </c>
      <c r="J149" s="222">
        <v>0</v>
      </c>
      <c r="K149" s="222">
        <v>0</v>
      </c>
      <c r="L149" s="222">
        <f t="shared" si="24"/>
        <v>0</v>
      </c>
      <c r="M149" s="222">
        <v>0</v>
      </c>
      <c r="N149" s="222">
        <v>0</v>
      </c>
      <c r="O149" s="222">
        <v>0</v>
      </c>
      <c r="P149" s="222">
        <f t="shared" si="25"/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f t="shared" si="26"/>
        <v>0</v>
      </c>
      <c r="V149" s="221">
        <f t="shared" si="27"/>
        <v>852353.23</v>
      </c>
      <c r="W149" s="172">
        <v>0</v>
      </c>
      <c r="X149" s="172">
        <f t="shared" si="28"/>
        <v>852353.23</v>
      </c>
      <c r="Y149" s="173">
        <v>0</v>
      </c>
      <c r="Z149" s="172">
        <f t="shared" si="29"/>
        <v>852353.23</v>
      </c>
    </row>
    <row r="150" spans="1:26" ht="12.75" hidden="1" outlineLevel="1">
      <c r="A150" s="172" t="s">
        <v>2287</v>
      </c>
      <c r="C150" s="173" t="s">
        <v>2288</v>
      </c>
      <c r="D150" s="173" t="s">
        <v>2289</v>
      </c>
      <c r="E150" s="172">
        <v>0</v>
      </c>
      <c r="F150" s="172">
        <v>425329.69</v>
      </c>
      <c r="G150" s="221">
        <f t="shared" si="23"/>
        <v>425329.69</v>
      </c>
      <c r="H150" s="222">
        <v>189841.22</v>
      </c>
      <c r="I150" s="222">
        <v>0</v>
      </c>
      <c r="J150" s="222">
        <v>0</v>
      </c>
      <c r="K150" s="222">
        <v>0</v>
      </c>
      <c r="L150" s="222">
        <f t="shared" si="24"/>
        <v>0</v>
      </c>
      <c r="M150" s="222">
        <v>0</v>
      </c>
      <c r="N150" s="222">
        <v>0</v>
      </c>
      <c r="O150" s="222">
        <v>0</v>
      </c>
      <c r="P150" s="222">
        <f t="shared" si="25"/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f t="shared" si="26"/>
        <v>0</v>
      </c>
      <c r="V150" s="221">
        <f t="shared" si="27"/>
        <v>615170.91</v>
      </c>
      <c r="W150" s="172">
        <v>0</v>
      </c>
      <c r="X150" s="172">
        <f t="shared" si="28"/>
        <v>615170.91</v>
      </c>
      <c r="Y150" s="173">
        <v>0</v>
      </c>
      <c r="Z150" s="172">
        <f t="shared" si="29"/>
        <v>615170.91</v>
      </c>
    </row>
    <row r="151" spans="1:26" ht="12.75" hidden="1" outlineLevel="1">
      <c r="A151" s="172" t="s">
        <v>2290</v>
      </c>
      <c r="C151" s="173" t="s">
        <v>2291</v>
      </c>
      <c r="D151" s="173" t="s">
        <v>2292</v>
      </c>
      <c r="E151" s="172">
        <v>0</v>
      </c>
      <c r="F151" s="172">
        <v>757755.29</v>
      </c>
      <c r="G151" s="221">
        <f t="shared" si="23"/>
        <v>757755.29</v>
      </c>
      <c r="H151" s="222">
        <v>117918.74</v>
      </c>
      <c r="I151" s="222">
        <v>0</v>
      </c>
      <c r="J151" s="222">
        <v>0</v>
      </c>
      <c r="K151" s="222">
        <v>0</v>
      </c>
      <c r="L151" s="222">
        <f t="shared" si="24"/>
        <v>0</v>
      </c>
      <c r="M151" s="222">
        <v>0</v>
      </c>
      <c r="N151" s="222">
        <v>0</v>
      </c>
      <c r="O151" s="222">
        <v>0</v>
      </c>
      <c r="P151" s="222">
        <f t="shared" si="25"/>
        <v>0</v>
      </c>
      <c r="Q151" s="221">
        <v>308.25</v>
      </c>
      <c r="R151" s="221">
        <v>0</v>
      </c>
      <c r="S151" s="221">
        <v>0</v>
      </c>
      <c r="T151" s="221">
        <v>0</v>
      </c>
      <c r="U151" s="221">
        <f t="shared" si="26"/>
        <v>308.25</v>
      </c>
      <c r="V151" s="221">
        <f t="shared" si="27"/>
        <v>875982.28</v>
      </c>
      <c r="W151" s="172">
        <v>0</v>
      </c>
      <c r="X151" s="172">
        <f t="shared" si="28"/>
        <v>875982.28</v>
      </c>
      <c r="Y151" s="173">
        <v>519.99</v>
      </c>
      <c r="Z151" s="172">
        <f t="shared" si="29"/>
        <v>876502.27</v>
      </c>
    </row>
    <row r="152" spans="1:26" ht="12.75" hidden="1" outlineLevel="1">
      <c r="A152" s="172" t="s">
        <v>2293</v>
      </c>
      <c r="C152" s="173" t="s">
        <v>2294</v>
      </c>
      <c r="D152" s="173" t="s">
        <v>2295</v>
      </c>
      <c r="E152" s="172">
        <v>0</v>
      </c>
      <c r="F152" s="172">
        <v>61393.52</v>
      </c>
      <c r="G152" s="221">
        <f t="shared" si="23"/>
        <v>61393.52</v>
      </c>
      <c r="H152" s="222">
        <v>3307.5</v>
      </c>
      <c r="I152" s="222">
        <v>0</v>
      </c>
      <c r="J152" s="222">
        <v>0</v>
      </c>
      <c r="K152" s="222">
        <v>0</v>
      </c>
      <c r="L152" s="222">
        <f t="shared" si="24"/>
        <v>0</v>
      </c>
      <c r="M152" s="222">
        <v>0</v>
      </c>
      <c r="N152" s="222">
        <v>0</v>
      </c>
      <c r="O152" s="222">
        <v>0</v>
      </c>
      <c r="P152" s="222">
        <f t="shared" si="25"/>
        <v>0</v>
      </c>
      <c r="Q152" s="221">
        <v>0</v>
      </c>
      <c r="R152" s="221">
        <v>0</v>
      </c>
      <c r="S152" s="221">
        <v>0</v>
      </c>
      <c r="T152" s="221">
        <v>0</v>
      </c>
      <c r="U152" s="221">
        <f t="shared" si="26"/>
        <v>0</v>
      </c>
      <c r="V152" s="221">
        <f t="shared" si="27"/>
        <v>64701.02</v>
      </c>
      <c r="W152" s="172">
        <v>0</v>
      </c>
      <c r="X152" s="172">
        <f t="shared" si="28"/>
        <v>64701.02</v>
      </c>
      <c r="Y152" s="173">
        <v>0</v>
      </c>
      <c r="Z152" s="172">
        <f t="shared" si="29"/>
        <v>64701.02</v>
      </c>
    </row>
    <row r="153" spans="1:26" ht="12.75" hidden="1" outlineLevel="1">
      <c r="A153" s="172" t="s">
        <v>2296</v>
      </c>
      <c r="C153" s="173" t="s">
        <v>2297</v>
      </c>
      <c r="D153" s="173" t="s">
        <v>2298</v>
      </c>
      <c r="E153" s="172">
        <v>0</v>
      </c>
      <c r="F153" s="172">
        <v>2099333.16</v>
      </c>
      <c r="G153" s="221">
        <f t="shared" si="23"/>
        <v>2099333.16</v>
      </c>
      <c r="H153" s="222">
        <v>782548.55</v>
      </c>
      <c r="I153" s="222">
        <v>0</v>
      </c>
      <c r="J153" s="222">
        <v>0</v>
      </c>
      <c r="K153" s="222">
        <v>0</v>
      </c>
      <c r="L153" s="222">
        <f t="shared" si="24"/>
        <v>0</v>
      </c>
      <c r="M153" s="222">
        <v>0</v>
      </c>
      <c r="N153" s="222">
        <v>0</v>
      </c>
      <c r="O153" s="222">
        <v>0</v>
      </c>
      <c r="P153" s="222">
        <f t="shared" si="25"/>
        <v>0</v>
      </c>
      <c r="Q153" s="221">
        <v>0</v>
      </c>
      <c r="R153" s="221">
        <v>0</v>
      </c>
      <c r="S153" s="221">
        <v>0</v>
      </c>
      <c r="T153" s="221">
        <v>0</v>
      </c>
      <c r="U153" s="221">
        <f t="shared" si="26"/>
        <v>0</v>
      </c>
      <c r="V153" s="221">
        <f t="shared" si="27"/>
        <v>2881881.71</v>
      </c>
      <c r="W153" s="172">
        <v>0</v>
      </c>
      <c r="X153" s="172">
        <f t="shared" si="28"/>
        <v>2881881.71</v>
      </c>
      <c r="Y153" s="173">
        <v>440.39</v>
      </c>
      <c r="Z153" s="172">
        <f t="shared" si="29"/>
        <v>2882322.1</v>
      </c>
    </row>
    <row r="154" spans="1:26" ht="12.75" hidden="1" outlineLevel="1">
      <c r="A154" s="172" t="s">
        <v>2299</v>
      </c>
      <c r="C154" s="173" t="s">
        <v>2300</v>
      </c>
      <c r="D154" s="173" t="s">
        <v>2301</v>
      </c>
      <c r="E154" s="172">
        <v>0</v>
      </c>
      <c r="F154" s="172">
        <v>307564.58</v>
      </c>
      <c r="G154" s="221">
        <f t="shared" si="23"/>
        <v>307564.58</v>
      </c>
      <c r="H154" s="222">
        <v>67214.66</v>
      </c>
      <c r="I154" s="222">
        <v>0</v>
      </c>
      <c r="J154" s="222">
        <v>0</v>
      </c>
      <c r="K154" s="222">
        <v>0</v>
      </c>
      <c r="L154" s="222">
        <f t="shared" si="24"/>
        <v>0</v>
      </c>
      <c r="M154" s="222">
        <v>0</v>
      </c>
      <c r="N154" s="222">
        <v>0</v>
      </c>
      <c r="O154" s="222">
        <v>0</v>
      </c>
      <c r="P154" s="222">
        <f t="shared" si="25"/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f t="shared" si="26"/>
        <v>0</v>
      </c>
      <c r="V154" s="221">
        <f t="shared" si="27"/>
        <v>374779.24</v>
      </c>
      <c r="W154" s="172">
        <v>0</v>
      </c>
      <c r="X154" s="172">
        <f t="shared" si="28"/>
        <v>374779.24</v>
      </c>
      <c r="Y154" s="173">
        <v>0</v>
      </c>
      <c r="Z154" s="172">
        <f t="shared" si="29"/>
        <v>374779.24</v>
      </c>
    </row>
    <row r="155" spans="1:26" ht="12.75" hidden="1" outlineLevel="1">
      <c r="A155" s="172" t="s">
        <v>2302</v>
      </c>
      <c r="C155" s="173" t="s">
        <v>2303</v>
      </c>
      <c r="D155" s="173" t="s">
        <v>2304</v>
      </c>
      <c r="E155" s="172">
        <v>0</v>
      </c>
      <c r="F155" s="172">
        <v>85.16</v>
      </c>
      <c r="G155" s="221">
        <f t="shared" si="23"/>
        <v>85.16</v>
      </c>
      <c r="H155" s="222">
        <v>0</v>
      </c>
      <c r="I155" s="222">
        <v>0</v>
      </c>
      <c r="J155" s="222">
        <v>0</v>
      </c>
      <c r="K155" s="222">
        <v>0</v>
      </c>
      <c r="L155" s="222">
        <f t="shared" si="24"/>
        <v>0</v>
      </c>
      <c r="M155" s="222">
        <v>0</v>
      </c>
      <c r="N155" s="222">
        <v>0</v>
      </c>
      <c r="O155" s="222">
        <v>0</v>
      </c>
      <c r="P155" s="222">
        <f t="shared" si="25"/>
        <v>0</v>
      </c>
      <c r="Q155" s="221">
        <v>0</v>
      </c>
      <c r="R155" s="221">
        <v>0</v>
      </c>
      <c r="S155" s="221">
        <v>0</v>
      </c>
      <c r="T155" s="221">
        <v>0</v>
      </c>
      <c r="U155" s="221">
        <f t="shared" si="26"/>
        <v>0</v>
      </c>
      <c r="V155" s="221">
        <f t="shared" si="27"/>
        <v>85.16</v>
      </c>
      <c r="W155" s="172">
        <v>0</v>
      </c>
      <c r="X155" s="172">
        <f t="shared" si="28"/>
        <v>85.16</v>
      </c>
      <c r="Y155" s="173">
        <v>0</v>
      </c>
      <c r="Z155" s="172">
        <f t="shared" si="29"/>
        <v>85.16</v>
      </c>
    </row>
    <row r="156" spans="1:26" ht="12.75" hidden="1" outlineLevel="1">
      <c r="A156" s="172" t="s">
        <v>2305</v>
      </c>
      <c r="C156" s="173" t="s">
        <v>2306</v>
      </c>
      <c r="D156" s="173" t="s">
        <v>2307</v>
      </c>
      <c r="E156" s="172">
        <v>0</v>
      </c>
      <c r="F156" s="172">
        <v>0</v>
      </c>
      <c r="G156" s="221">
        <f t="shared" si="23"/>
        <v>0</v>
      </c>
      <c r="H156" s="222">
        <v>855.56</v>
      </c>
      <c r="I156" s="222">
        <v>0</v>
      </c>
      <c r="J156" s="222">
        <v>0</v>
      </c>
      <c r="K156" s="222">
        <v>0</v>
      </c>
      <c r="L156" s="222">
        <f t="shared" si="24"/>
        <v>0</v>
      </c>
      <c r="M156" s="222">
        <v>0</v>
      </c>
      <c r="N156" s="222">
        <v>0</v>
      </c>
      <c r="O156" s="222">
        <v>0</v>
      </c>
      <c r="P156" s="222">
        <f t="shared" si="25"/>
        <v>0</v>
      </c>
      <c r="Q156" s="221">
        <v>0</v>
      </c>
      <c r="R156" s="221">
        <v>0</v>
      </c>
      <c r="S156" s="221">
        <v>0</v>
      </c>
      <c r="T156" s="221">
        <v>0</v>
      </c>
      <c r="U156" s="221">
        <f t="shared" si="26"/>
        <v>0</v>
      </c>
      <c r="V156" s="221">
        <f t="shared" si="27"/>
        <v>855.56</v>
      </c>
      <c r="W156" s="172">
        <v>0</v>
      </c>
      <c r="X156" s="172">
        <f t="shared" si="28"/>
        <v>855.56</v>
      </c>
      <c r="Y156" s="173">
        <v>0</v>
      </c>
      <c r="Z156" s="172">
        <f t="shared" si="29"/>
        <v>855.56</v>
      </c>
    </row>
    <row r="157" spans="1:26" ht="12.75" hidden="1" outlineLevel="1">
      <c r="A157" s="172" t="s">
        <v>2308</v>
      </c>
      <c r="C157" s="173" t="s">
        <v>2309</v>
      </c>
      <c r="D157" s="173" t="s">
        <v>2310</v>
      </c>
      <c r="E157" s="172">
        <v>0</v>
      </c>
      <c r="F157" s="172">
        <v>2663.48</v>
      </c>
      <c r="G157" s="221">
        <f t="shared" si="23"/>
        <v>2663.48</v>
      </c>
      <c r="H157" s="222">
        <v>0</v>
      </c>
      <c r="I157" s="222">
        <v>0</v>
      </c>
      <c r="J157" s="222">
        <v>0</v>
      </c>
      <c r="K157" s="222">
        <v>0</v>
      </c>
      <c r="L157" s="222">
        <f t="shared" si="24"/>
        <v>0</v>
      </c>
      <c r="M157" s="222">
        <v>0</v>
      </c>
      <c r="N157" s="222">
        <v>0</v>
      </c>
      <c r="O157" s="222">
        <v>0</v>
      </c>
      <c r="P157" s="222">
        <f t="shared" si="25"/>
        <v>0</v>
      </c>
      <c r="Q157" s="221">
        <v>0</v>
      </c>
      <c r="R157" s="221">
        <v>0</v>
      </c>
      <c r="S157" s="221">
        <v>0</v>
      </c>
      <c r="T157" s="221">
        <v>0</v>
      </c>
      <c r="U157" s="221">
        <f t="shared" si="26"/>
        <v>0</v>
      </c>
      <c r="V157" s="221">
        <f t="shared" si="27"/>
        <v>2663.48</v>
      </c>
      <c r="W157" s="172">
        <v>0</v>
      </c>
      <c r="X157" s="172">
        <f t="shared" si="28"/>
        <v>2663.48</v>
      </c>
      <c r="Y157" s="173">
        <v>0</v>
      </c>
      <c r="Z157" s="172">
        <f t="shared" si="29"/>
        <v>2663.48</v>
      </c>
    </row>
    <row r="158" spans="1:26" ht="12.75" hidden="1" outlineLevel="1">
      <c r="A158" s="172" t="s">
        <v>2311</v>
      </c>
      <c r="C158" s="173" t="s">
        <v>2312</v>
      </c>
      <c r="D158" s="173" t="s">
        <v>2313</v>
      </c>
      <c r="E158" s="172">
        <v>0</v>
      </c>
      <c r="F158" s="172">
        <v>69263.82</v>
      </c>
      <c r="G158" s="221">
        <f t="shared" si="23"/>
        <v>69263.82</v>
      </c>
      <c r="H158" s="222">
        <v>47421.08</v>
      </c>
      <c r="I158" s="222">
        <v>0</v>
      </c>
      <c r="J158" s="222">
        <v>0</v>
      </c>
      <c r="K158" s="222">
        <v>0</v>
      </c>
      <c r="L158" s="222">
        <f t="shared" si="24"/>
        <v>0</v>
      </c>
      <c r="M158" s="222">
        <v>0</v>
      </c>
      <c r="N158" s="222">
        <v>0</v>
      </c>
      <c r="O158" s="222">
        <v>0</v>
      </c>
      <c r="P158" s="222">
        <f t="shared" si="25"/>
        <v>0</v>
      </c>
      <c r="Q158" s="221">
        <v>0</v>
      </c>
      <c r="R158" s="221">
        <v>0</v>
      </c>
      <c r="S158" s="221">
        <v>0</v>
      </c>
      <c r="T158" s="221">
        <v>0</v>
      </c>
      <c r="U158" s="221">
        <f t="shared" si="26"/>
        <v>0</v>
      </c>
      <c r="V158" s="221">
        <f t="shared" si="27"/>
        <v>116684.90000000001</v>
      </c>
      <c r="W158" s="172">
        <v>0</v>
      </c>
      <c r="X158" s="172">
        <f t="shared" si="28"/>
        <v>116684.90000000001</v>
      </c>
      <c r="Y158" s="173">
        <v>0</v>
      </c>
      <c r="Z158" s="172">
        <f t="shared" si="29"/>
        <v>116684.90000000001</v>
      </c>
    </row>
    <row r="159" spans="1:26" ht="12.75" hidden="1" outlineLevel="1">
      <c r="A159" s="172" t="s">
        <v>2314</v>
      </c>
      <c r="C159" s="173" t="s">
        <v>2315</v>
      </c>
      <c r="D159" s="173" t="s">
        <v>2316</v>
      </c>
      <c r="E159" s="172">
        <v>0</v>
      </c>
      <c r="F159" s="172">
        <v>193866.11</v>
      </c>
      <c r="G159" s="221">
        <f t="shared" si="23"/>
        <v>193866.11</v>
      </c>
      <c r="H159" s="222">
        <v>40448.62</v>
      </c>
      <c r="I159" s="222">
        <v>0</v>
      </c>
      <c r="J159" s="222">
        <v>0</v>
      </c>
      <c r="K159" s="222">
        <v>0</v>
      </c>
      <c r="L159" s="222">
        <f t="shared" si="24"/>
        <v>0</v>
      </c>
      <c r="M159" s="222">
        <v>0</v>
      </c>
      <c r="N159" s="222">
        <v>0</v>
      </c>
      <c r="O159" s="222">
        <v>0</v>
      </c>
      <c r="P159" s="222">
        <f t="shared" si="25"/>
        <v>0</v>
      </c>
      <c r="Q159" s="221">
        <v>0</v>
      </c>
      <c r="R159" s="221">
        <v>0</v>
      </c>
      <c r="S159" s="221">
        <v>0</v>
      </c>
      <c r="T159" s="221">
        <v>0</v>
      </c>
      <c r="U159" s="221">
        <f t="shared" si="26"/>
        <v>0</v>
      </c>
      <c r="V159" s="221">
        <f t="shared" si="27"/>
        <v>234314.72999999998</v>
      </c>
      <c r="W159" s="172">
        <v>0</v>
      </c>
      <c r="X159" s="172">
        <f t="shared" si="28"/>
        <v>234314.72999999998</v>
      </c>
      <c r="Y159" s="173">
        <v>0</v>
      </c>
      <c r="Z159" s="172">
        <f t="shared" si="29"/>
        <v>234314.72999999998</v>
      </c>
    </row>
    <row r="160" spans="1:26" ht="12.75" hidden="1" outlineLevel="1">
      <c r="A160" s="172" t="s">
        <v>2317</v>
      </c>
      <c r="C160" s="173" t="s">
        <v>2318</v>
      </c>
      <c r="D160" s="173" t="s">
        <v>2319</v>
      </c>
      <c r="E160" s="172">
        <v>0</v>
      </c>
      <c r="F160" s="172">
        <v>34807.14</v>
      </c>
      <c r="G160" s="221">
        <f t="shared" si="23"/>
        <v>34807.14</v>
      </c>
      <c r="H160" s="222">
        <v>404.07</v>
      </c>
      <c r="I160" s="222">
        <v>0</v>
      </c>
      <c r="J160" s="222">
        <v>0</v>
      </c>
      <c r="K160" s="222">
        <v>0</v>
      </c>
      <c r="L160" s="222">
        <f t="shared" si="24"/>
        <v>0</v>
      </c>
      <c r="M160" s="222">
        <v>0</v>
      </c>
      <c r="N160" s="222">
        <v>0</v>
      </c>
      <c r="O160" s="222">
        <v>0</v>
      </c>
      <c r="P160" s="222">
        <f t="shared" si="25"/>
        <v>0</v>
      </c>
      <c r="Q160" s="221">
        <v>0</v>
      </c>
      <c r="R160" s="221">
        <v>0</v>
      </c>
      <c r="S160" s="221">
        <v>0</v>
      </c>
      <c r="T160" s="221">
        <v>0</v>
      </c>
      <c r="U160" s="221">
        <f t="shared" si="26"/>
        <v>0</v>
      </c>
      <c r="V160" s="221">
        <f t="shared" si="27"/>
        <v>35211.21</v>
      </c>
      <c r="W160" s="172">
        <v>0</v>
      </c>
      <c r="X160" s="172">
        <f t="shared" si="28"/>
        <v>35211.21</v>
      </c>
      <c r="Y160" s="173">
        <v>0</v>
      </c>
      <c r="Z160" s="172">
        <f t="shared" si="29"/>
        <v>35211.21</v>
      </c>
    </row>
    <row r="161" spans="1:26" ht="12.75" hidden="1" outlineLevel="1">
      <c r="A161" s="172" t="s">
        <v>2320</v>
      </c>
      <c r="C161" s="173" t="s">
        <v>2321</v>
      </c>
      <c r="D161" s="173" t="s">
        <v>2322</v>
      </c>
      <c r="E161" s="172">
        <v>0</v>
      </c>
      <c r="F161" s="172">
        <v>9036.01</v>
      </c>
      <c r="G161" s="221">
        <f t="shared" si="23"/>
        <v>9036.01</v>
      </c>
      <c r="H161" s="222">
        <v>265.48</v>
      </c>
      <c r="I161" s="222">
        <v>0</v>
      </c>
      <c r="J161" s="222">
        <v>0</v>
      </c>
      <c r="K161" s="222">
        <v>0</v>
      </c>
      <c r="L161" s="222">
        <f t="shared" si="24"/>
        <v>0</v>
      </c>
      <c r="M161" s="222">
        <v>0</v>
      </c>
      <c r="N161" s="222">
        <v>0</v>
      </c>
      <c r="O161" s="222">
        <v>0</v>
      </c>
      <c r="P161" s="222">
        <f t="shared" si="25"/>
        <v>0</v>
      </c>
      <c r="Q161" s="221">
        <v>0</v>
      </c>
      <c r="R161" s="221">
        <v>0</v>
      </c>
      <c r="S161" s="221">
        <v>0</v>
      </c>
      <c r="T161" s="221">
        <v>0</v>
      </c>
      <c r="U161" s="221">
        <f t="shared" si="26"/>
        <v>0</v>
      </c>
      <c r="V161" s="221">
        <f t="shared" si="27"/>
        <v>9301.49</v>
      </c>
      <c r="W161" s="172">
        <v>0</v>
      </c>
      <c r="X161" s="172">
        <f t="shared" si="28"/>
        <v>9301.49</v>
      </c>
      <c r="Y161" s="173">
        <v>0</v>
      </c>
      <c r="Z161" s="172">
        <f t="shared" si="29"/>
        <v>9301.49</v>
      </c>
    </row>
    <row r="162" spans="1:26" ht="12.75" hidden="1" outlineLevel="1">
      <c r="A162" s="172" t="s">
        <v>2323</v>
      </c>
      <c r="C162" s="173" t="s">
        <v>2324</v>
      </c>
      <c r="D162" s="173" t="s">
        <v>2325</v>
      </c>
      <c r="E162" s="172">
        <v>0</v>
      </c>
      <c r="F162" s="172">
        <v>123530.64</v>
      </c>
      <c r="G162" s="221">
        <f t="shared" si="23"/>
        <v>123530.64</v>
      </c>
      <c r="H162" s="222">
        <v>143116.8</v>
      </c>
      <c r="I162" s="222">
        <v>0</v>
      </c>
      <c r="J162" s="222">
        <v>0</v>
      </c>
      <c r="K162" s="222">
        <v>0</v>
      </c>
      <c r="L162" s="222">
        <f t="shared" si="24"/>
        <v>0</v>
      </c>
      <c r="M162" s="222">
        <v>0</v>
      </c>
      <c r="N162" s="222">
        <v>0</v>
      </c>
      <c r="O162" s="222">
        <v>0</v>
      </c>
      <c r="P162" s="222">
        <f t="shared" si="25"/>
        <v>0</v>
      </c>
      <c r="Q162" s="221">
        <v>0</v>
      </c>
      <c r="R162" s="221">
        <v>0</v>
      </c>
      <c r="S162" s="221">
        <v>0</v>
      </c>
      <c r="T162" s="221">
        <v>0</v>
      </c>
      <c r="U162" s="221">
        <f t="shared" si="26"/>
        <v>0</v>
      </c>
      <c r="V162" s="221">
        <f t="shared" si="27"/>
        <v>266647.44</v>
      </c>
      <c r="W162" s="172">
        <v>0</v>
      </c>
      <c r="X162" s="172">
        <f t="shared" si="28"/>
        <v>266647.44</v>
      </c>
      <c r="Y162" s="173">
        <v>0</v>
      </c>
      <c r="Z162" s="172">
        <f t="shared" si="29"/>
        <v>266647.44</v>
      </c>
    </row>
    <row r="163" spans="1:26" ht="12.75" hidden="1" outlineLevel="1">
      <c r="A163" s="172" t="s">
        <v>2326</v>
      </c>
      <c r="C163" s="173" t="s">
        <v>2327</v>
      </c>
      <c r="D163" s="173" t="s">
        <v>2328</v>
      </c>
      <c r="E163" s="172">
        <v>0</v>
      </c>
      <c r="F163" s="172">
        <v>8112.19</v>
      </c>
      <c r="G163" s="221">
        <f t="shared" si="23"/>
        <v>8112.19</v>
      </c>
      <c r="H163" s="222">
        <v>20891.41</v>
      </c>
      <c r="I163" s="222">
        <v>0</v>
      </c>
      <c r="J163" s="222">
        <v>0</v>
      </c>
      <c r="K163" s="222">
        <v>0</v>
      </c>
      <c r="L163" s="222">
        <f t="shared" si="24"/>
        <v>0</v>
      </c>
      <c r="M163" s="222">
        <v>0</v>
      </c>
      <c r="N163" s="222">
        <v>0</v>
      </c>
      <c r="O163" s="222">
        <v>0</v>
      </c>
      <c r="P163" s="222">
        <f t="shared" si="25"/>
        <v>0</v>
      </c>
      <c r="Q163" s="221">
        <v>0</v>
      </c>
      <c r="R163" s="221">
        <v>0</v>
      </c>
      <c r="S163" s="221">
        <v>0</v>
      </c>
      <c r="T163" s="221">
        <v>0</v>
      </c>
      <c r="U163" s="221">
        <f t="shared" si="26"/>
        <v>0</v>
      </c>
      <c r="V163" s="221">
        <f t="shared" si="27"/>
        <v>29003.6</v>
      </c>
      <c r="W163" s="172">
        <v>0</v>
      </c>
      <c r="X163" s="172">
        <f t="shared" si="28"/>
        <v>29003.6</v>
      </c>
      <c r="Y163" s="173">
        <v>0</v>
      </c>
      <c r="Z163" s="172">
        <f t="shared" si="29"/>
        <v>29003.6</v>
      </c>
    </row>
    <row r="164" spans="1:26" ht="12.75" hidden="1" outlineLevel="1">
      <c r="A164" s="172" t="s">
        <v>2329</v>
      </c>
      <c r="C164" s="173" t="s">
        <v>2330</v>
      </c>
      <c r="D164" s="173" t="s">
        <v>2331</v>
      </c>
      <c r="E164" s="172">
        <v>0</v>
      </c>
      <c r="F164" s="172">
        <v>28369.93</v>
      </c>
      <c r="G164" s="221">
        <f t="shared" si="23"/>
        <v>28369.93</v>
      </c>
      <c r="H164" s="222">
        <v>0</v>
      </c>
      <c r="I164" s="222">
        <v>0</v>
      </c>
      <c r="J164" s="222">
        <v>0</v>
      </c>
      <c r="K164" s="222">
        <v>0</v>
      </c>
      <c r="L164" s="222">
        <f t="shared" si="24"/>
        <v>0</v>
      </c>
      <c r="M164" s="222">
        <v>0</v>
      </c>
      <c r="N164" s="222">
        <v>0</v>
      </c>
      <c r="O164" s="222">
        <v>0</v>
      </c>
      <c r="P164" s="222">
        <f t="shared" si="25"/>
        <v>0</v>
      </c>
      <c r="Q164" s="221">
        <v>0</v>
      </c>
      <c r="R164" s="221">
        <v>0</v>
      </c>
      <c r="S164" s="221">
        <v>0</v>
      </c>
      <c r="T164" s="221">
        <v>0</v>
      </c>
      <c r="U164" s="221">
        <f t="shared" si="26"/>
        <v>0</v>
      </c>
      <c r="V164" s="221">
        <f t="shared" si="27"/>
        <v>28369.93</v>
      </c>
      <c r="W164" s="172">
        <v>0</v>
      </c>
      <c r="X164" s="172">
        <f t="shared" si="28"/>
        <v>28369.93</v>
      </c>
      <c r="Y164" s="173">
        <v>0</v>
      </c>
      <c r="Z164" s="172">
        <f t="shared" si="29"/>
        <v>28369.93</v>
      </c>
    </row>
    <row r="165" spans="1:26" ht="12.75" hidden="1" outlineLevel="1">
      <c r="A165" s="172" t="s">
        <v>2332</v>
      </c>
      <c r="C165" s="173" t="s">
        <v>2333</v>
      </c>
      <c r="D165" s="173" t="s">
        <v>2334</v>
      </c>
      <c r="E165" s="172">
        <v>0</v>
      </c>
      <c r="F165" s="172">
        <v>37921.66</v>
      </c>
      <c r="G165" s="221">
        <f t="shared" si="23"/>
        <v>37921.66</v>
      </c>
      <c r="H165" s="222">
        <v>0</v>
      </c>
      <c r="I165" s="222">
        <v>0</v>
      </c>
      <c r="J165" s="222">
        <v>0</v>
      </c>
      <c r="K165" s="222">
        <v>0</v>
      </c>
      <c r="L165" s="222">
        <f t="shared" si="24"/>
        <v>0</v>
      </c>
      <c r="M165" s="222">
        <v>0</v>
      </c>
      <c r="N165" s="222">
        <v>0</v>
      </c>
      <c r="O165" s="222">
        <v>0</v>
      </c>
      <c r="P165" s="222">
        <f t="shared" si="25"/>
        <v>0</v>
      </c>
      <c r="Q165" s="221">
        <v>0</v>
      </c>
      <c r="R165" s="221">
        <v>0</v>
      </c>
      <c r="S165" s="221">
        <v>0</v>
      </c>
      <c r="T165" s="221">
        <v>0</v>
      </c>
      <c r="U165" s="221">
        <f t="shared" si="26"/>
        <v>0</v>
      </c>
      <c r="V165" s="221">
        <f t="shared" si="27"/>
        <v>37921.66</v>
      </c>
      <c r="W165" s="172">
        <v>0</v>
      </c>
      <c r="X165" s="172">
        <f t="shared" si="28"/>
        <v>37921.66</v>
      </c>
      <c r="Y165" s="173">
        <v>0</v>
      </c>
      <c r="Z165" s="172">
        <f t="shared" si="29"/>
        <v>37921.66</v>
      </c>
    </row>
    <row r="166" spans="1:26" ht="12.75" hidden="1" outlineLevel="1">
      <c r="A166" s="172" t="s">
        <v>2335</v>
      </c>
      <c r="C166" s="173" t="s">
        <v>2336</v>
      </c>
      <c r="D166" s="173" t="s">
        <v>2337</v>
      </c>
      <c r="E166" s="172">
        <v>0</v>
      </c>
      <c r="F166" s="172">
        <v>57414.58</v>
      </c>
      <c r="G166" s="221">
        <f t="shared" si="23"/>
        <v>57414.58</v>
      </c>
      <c r="H166" s="222">
        <v>126.09</v>
      </c>
      <c r="I166" s="222">
        <v>0</v>
      </c>
      <c r="J166" s="222">
        <v>0</v>
      </c>
      <c r="K166" s="222">
        <v>0</v>
      </c>
      <c r="L166" s="222">
        <f t="shared" si="24"/>
        <v>0</v>
      </c>
      <c r="M166" s="222">
        <v>0</v>
      </c>
      <c r="N166" s="222">
        <v>0</v>
      </c>
      <c r="O166" s="222">
        <v>0</v>
      </c>
      <c r="P166" s="222">
        <f t="shared" si="25"/>
        <v>0</v>
      </c>
      <c r="Q166" s="221">
        <v>0</v>
      </c>
      <c r="R166" s="221">
        <v>0</v>
      </c>
      <c r="S166" s="221">
        <v>0</v>
      </c>
      <c r="T166" s="221">
        <v>0</v>
      </c>
      <c r="U166" s="221">
        <f t="shared" si="26"/>
        <v>0</v>
      </c>
      <c r="V166" s="221">
        <f t="shared" si="27"/>
        <v>57540.67</v>
      </c>
      <c r="W166" s="172">
        <v>0</v>
      </c>
      <c r="X166" s="172">
        <f t="shared" si="28"/>
        <v>57540.67</v>
      </c>
      <c r="Y166" s="173">
        <v>0</v>
      </c>
      <c r="Z166" s="172">
        <f t="shared" si="29"/>
        <v>57540.67</v>
      </c>
    </row>
    <row r="167" spans="1:26" ht="12.75" hidden="1" outlineLevel="1">
      <c r="A167" s="172" t="s">
        <v>2338</v>
      </c>
      <c r="C167" s="173" t="s">
        <v>2339</v>
      </c>
      <c r="D167" s="173" t="s">
        <v>2340</v>
      </c>
      <c r="E167" s="172">
        <v>0</v>
      </c>
      <c r="F167" s="172">
        <v>6559.33</v>
      </c>
      <c r="G167" s="221">
        <f t="shared" si="23"/>
        <v>6559.33</v>
      </c>
      <c r="H167" s="222">
        <v>45.56</v>
      </c>
      <c r="I167" s="222">
        <v>0</v>
      </c>
      <c r="J167" s="222">
        <v>0</v>
      </c>
      <c r="K167" s="222">
        <v>0</v>
      </c>
      <c r="L167" s="222">
        <f t="shared" si="24"/>
        <v>0</v>
      </c>
      <c r="M167" s="222">
        <v>0</v>
      </c>
      <c r="N167" s="222">
        <v>0</v>
      </c>
      <c r="O167" s="222">
        <v>0</v>
      </c>
      <c r="P167" s="222">
        <f t="shared" si="25"/>
        <v>0</v>
      </c>
      <c r="Q167" s="221">
        <v>0</v>
      </c>
      <c r="R167" s="221">
        <v>0</v>
      </c>
      <c r="S167" s="221">
        <v>0</v>
      </c>
      <c r="T167" s="221">
        <v>0</v>
      </c>
      <c r="U167" s="221">
        <f t="shared" si="26"/>
        <v>0</v>
      </c>
      <c r="V167" s="221">
        <f t="shared" si="27"/>
        <v>6604.89</v>
      </c>
      <c r="W167" s="172">
        <v>0</v>
      </c>
      <c r="X167" s="172">
        <f t="shared" si="28"/>
        <v>6604.89</v>
      </c>
      <c r="Y167" s="173">
        <v>0</v>
      </c>
      <c r="Z167" s="172">
        <f t="shared" si="29"/>
        <v>6604.89</v>
      </c>
    </row>
    <row r="168" spans="1:26" ht="12.75" hidden="1" outlineLevel="1">
      <c r="A168" s="172" t="s">
        <v>2341</v>
      </c>
      <c r="C168" s="173" t="s">
        <v>2342</v>
      </c>
      <c r="D168" s="173" t="s">
        <v>2343</v>
      </c>
      <c r="E168" s="172">
        <v>0</v>
      </c>
      <c r="F168" s="172">
        <v>19662.71</v>
      </c>
      <c r="G168" s="221">
        <f t="shared" si="23"/>
        <v>19662.71</v>
      </c>
      <c r="H168" s="222">
        <v>13133.83</v>
      </c>
      <c r="I168" s="222">
        <v>0</v>
      </c>
      <c r="J168" s="222">
        <v>0</v>
      </c>
      <c r="K168" s="222">
        <v>0</v>
      </c>
      <c r="L168" s="222">
        <f t="shared" si="24"/>
        <v>0</v>
      </c>
      <c r="M168" s="222">
        <v>0</v>
      </c>
      <c r="N168" s="222">
        <v>0</v>
      </c>
      <c r="O168" s="222">
        <v>0</v>
      </c>
      <c r="P168" s="222">
        <f t="shared" si="25"/>
        <v>0</v>
      </c>
      <c r="Q168" s="221">
        <v>0</v>
      </c>
      <c r="R168" s="221">
        <v>0</v>
      </c>
      <c r="S168" s="221">
        <v>0</v>
      </c>
      <c r="T168" s="221">
        <v>0</v>
      </c>
      <c r="U168" s="221">
        <f t="shared" si="26"/>
        <v>0</v>
      </c>
      <c r="V168" s="221">
        <f t="shared" si="27"/>
        <v>32796.54</v>
      </c>
      <c r="W168" s="172">
        <v>0</v>
      </c>
      <c r="X168" s="172">
        <f t="shared" si="28"/>
        <v>32796.54</v>
      </c>
      <c r="Y168" s="173">
        <v>0</v>
      </c>
      <c r="Z168" s="172">
        <f t="shared" si="29"/>
        <v>32796.54</v>
      </c>
    </row>
    <row r="169" spans="1:26" ht="12.75" hidden="1" outlineLevel="1">
      <c r="A169" s="172" t="s">
        <v>2344</v>
      </c>
      <c r="C169" s="173" t="s">
        <v>2345</v>
      </c>
      <c r="D169" s="173" t="s">
        <v>2346</v>
      </c>
      <c r="E169" s="172">
        <v>0</v>
      </c>
      <c r="F169" s="172">
        <v>32932.19</v>
      </c>
      <c r="G169" s="221">
        <f t="shared" si="23"/>
        <v>32932.19</v>
      </c>
      <c r="H169" s="222">
        <v>741.76</v>
      </c>
      <c r="I169" s="222">
        <v>0</v>
      </c>
      <c r="J169" s="222">
        <v>0</v>
      </c>
      <c r="K169" s="222">
        <v>0</v>
      </c>
      <c r="L169" s="222">
        <f t="shared" si="24"/>
        <v>0</v>
      </c>
      <c r="M169" s="222">
        <v>0</v>
      </c>
      <c r="N169" s="222">
        <v>0</v>
      </c>
      <c r="O169" s="222">
        <v>0</v>
      </c>
      <c r="P169" s="222">
        <f t="shared" si="25"/>
        <v>0</v>
      </c>
      <c r="Q169" s="221">
        <v>0</v>
      </c>
      <c r="R169" s="221">
        <v>0</v>
      </c>
      <c r="S169" s="221">
        <v>0</v>
      </c>
      <c r="T169" s="221">
        <v>0</v>
      </c>
      <c r="U169" s="221">
        <f t="shared" si="26"/>
        <v>0</v>
      </c>
      <c r="V169" s="221">
        <f t="shared" si="27"/>
        <v>33673.950000000004</v>
      </c>
      <c r="W169" s="172">
        <v>0</v>
      </c>
      <c r="X169" s="172">
        <f t="shared" si="28"/>
        <v>33673.950000000004</v>
      </c>
      <c r="Y169" s="173">
        <v>0</v>
      </c>
      <c r="Z169" s="172">
        <f t="shared" si="29"/>
        <v>33673.950000000004</v>
      </c>
    </row>
    <row r="170" spans="1:26" ht="12.75" hidden="1" outlineLevel="1">
      <c r="A170" s="172" t="s">
        <v>2347</v>
      </c>
      <c r="C170" s="173" t="s">
        <v>2348</v>
      </c>
      <c r="D170" s="173" t="s">
        <v>2349</v>
      </c>
      <c r="E170" s="172">
        <v>0</v>
      </c>
      <c r="F170" s="172">
        <v>3282.01</v>
      </c>
      <c r="G170" s="221">
        <f t="shared" si="23"/>
        <v>3282.01</v>
      </c>
      <c r="H170" s="222">
        <v>0</v>
      </c>
      <c r="I170" s="222">
        <v>0</v>
      </c>
      <c r="J170" s="222">
        <v>0</v>
      </c>
      <c r="K170" s="222">
        <v>0</v>
      </c>
      <c r="L170" s="222">
        <f t="shared" si="24"/>
        <v>0</v>
      </c>
      <c r="M170" s="222">
        <v>0</v>
      </c>
      <c r="N170" s="222">
        <v>0</v>
      </c>
      <c r="O170" s="222">
        <v>0</v>
      </c>
      <c r="P170" s="222">
        <f t="shared" si="25"/>
        <v>0</v>
      </c>
      <c r="Q170" s="221">
        <v>0</v>
      </c>
      <c r="R170" s="221">
        <v>0</v>
      </c>
      <c r="S170" s="221">
        <v>0</v>
      </c>
      <c r="T170" s="221">
        <v>0</v>
      </c>
      <c r="U170" s="221">
        <f t="shared" si="26"/>
        <v>0</v>
      </c>
      <c r="V170" s="221">
        <f t="shared" si="27"/>
        <v>3282.01</v>
      </c>
      <c r="W170" s="172">
        <v>0</v>
      </c>
      <c r="X170" s="172">
        <f t="shared" si="28"/>
        <v>3282.01</v>
      </c>
      <c r="Y170" s="173">
        <v>0</v>
      </c>
      <c r="Z170" s="172">
        <f t="shared" si="29"/>
        <v>3282.01</v>
      </c>
    </row>
    <row r="171" spans="1:26" ht="12.75" hidden="1" outlineLevel="1">
      <c r="A171" s="172" t="s">
        <v>2350</v>
      </c>
      <c r="C171" s="173" t="s">
        <v>2351</v>
      </c>
      <c r="D171" s="173" t="s">
        <v>2352</v>
      </c>
      <c r="E171" s="172">
        <v>0</v>
      </c>
      <c r="F171" s="172">
        <v>81.78</v>
      </c>
      <c r="G171" s="221">
        <f t="shared" si="23"/>
        <v>81.78</v>
      </c>
      <c r="H171" s="222">
        <v>0</v>
      </c>
      <c r="I171" s="222">
        <v>0</v>
      </c>
      <c r="J171" s="222">
        <v>0</v>
      </c>
      <c r="K171" s="222">
        <v>0</v>
      </c>
      <c r="L171" s="222">
        <f t="shared" si="24"/>
        <v>0</v>
      </c>
      <c r="M171" s="222">
        <v>0</v>
      </c>
      <c r="N171" s="222">
        <v>0</v>
      </c>
      <c r="O171" s="222">
        <v>0</v>
      </c>
      <c r="P171" s="222">
        <f t="shared" si="25"/>
        <v>0</v>
      </c>
      <c r="Q171" s="221">
        <v>0</v>
      </c>
      <c r="R171" s="221">
        <v>0</v>
      </c>
      <c r="S171" s="221">
        <v>0</v>
      </c>
      <c r="T171" s="221">
        <v>0</v>
      </c>
      <c r="U171" s="221">
        <f t="shared" si="26"/>
        <v>0</v>
      </c>
      <c r="V171" s="221">
        <f t="shared" si="27"/>
        <v>81.78</v>
      </c>
      <c r="W171" s="172">
        <v>0</v>
      </c>
      <c r="X171" s="172">
        <f t="shared" si="28"/>
        <v>81.78</v>
      </c>
      <c r="Y171" s="173">
        <v>0</v>
      </c>
      <c r="Z171" s="172">
        <f t="shared" si="29"/>
        <v>81.78</v>
      </c>
    </row>
    <row r="172" spans="1:26" ht="12.75" hidden="1" outlineLevel="1">
      <c r="A172" s="172" t="s">
        <v>2353</v>
      </c>
      <c r="C172" s="173" t="s">
        <v>2354</v>
      </c>
      <c r="D172" s="173" t="s">
        <v>2355</v>
      </c>
      <c r="E172" s="172">
        <v>0</v>
      </c>
      <c r="F172" s="172">
        <v>391333.96</v>
      </c>
      <c r="G172" s="221">
        <f t="shared" si="23"/>
        <v>391333.96</v>
      </c>
      <c r="H172" s="222">
        <v>1721.89</v>
      </c>
      <c r="I172" s="222">
        <v>0</v>
      </c>
      <c r="J172" s="222">
        <v>0</v>
      </c>
      <c r="K172" s="222">
        <v>0</v>
      </c>
      <c r="L172" s="222">
        <f t="shared" si="24"/>
        <v>0</v>
      </c>
      <c r="M172" s="222">
        <v>0</v>
      </c>
      <c r="N172" s="222">
        <v>0</v>
      </c>
      <c r="O172" s="222">
        <v>0</v>
      </c>
      <c r="P172" s="222">
        <f t="shared" si="25"/>
        <v>0</v>
      </c>
      <c r="Q172" s="221">
        <v>0</v>
      </c>
      <c r="R172" s="221">
        <v>0</v>
      </c>
      <c r="S172" s="221">
        <v>0</v>
      </c>
      <c r="T172" s="221">
        <v>0</v>
      </c>
      <c r="U172" s="221">
        <f t="shared" si="26"/>
        <v>0</v>
      </c>
      <c r="V172" s="221">
        <f t="shared" si="27"/>
        <v>393055.85000000003</v>
      </c>
      <c r="W172" s="172">
        <v>0</v>
      </c>
      <c r="X172" s="172">
        <f t="shared" si="28"/>
        <v>393055.85000000003</v>
      </c>
      <c r="Y172" s="173">
        <v>0</v>
      </c>
      <c r="Z172" s="172">
        <f t="shared" si="29"/>
        <v>393055.85000000003</v>
      </c>
    </row>
    <row r="173" spans="1:26" ht="12.75" hidden="1" outlineLevel="1">
      <c r="A173" s="172" t="s">
        <v>2356</v>
      </c>
      <c r="C173" s="173" t="s">
        <v>2357</v>
      </c>
      <c r="D173" s="173" t="s">
        <v>2358</v>
      </c>
      <c r="E173" s="172">
        <v>0</v>
      </c>
      <c r="F173" s="172">
        <v>5705.66</v>
      </c>
      <c r="G173" s="221">
        <f t="shared" si="23"/>
        <v>5705.66</v>
      </c>
      <c r="H173" s="222">
        <v>10274.52</v>
      </c>
      <c r="I173" s="222">
        <v>0</v>
      </c>
      <c r="J173" s="222">
        <v>0</v>
      </c>
      <c r="K173" s="222">
        <v>0</v>
      </c>
      <c r="L173" s="222">
        <f t="shared" si="24"/>
        <v>0</v>
      </c>
      <c r="M173" s="222">
        <v>0</v>
      </c>
      <c r="N173" s="222">
        <v>0</v>
      </c>
      <c r="O173" s="222">
        <v>0</v>
      </c>
      <c r="P173" s="222">
        <f t="shared" si="25"/>
        <v>0</v>
      </c>
      <c r="Q173" s="221">
        <v>0</v>
      </c>
      <c r="R173" s="221">
        <v>0</v>
      </c>
      <c r="S173" s="221">
        <v>0</v>
      </c>
      <c r="T173" s="221">
        <v>0</v>
      </c>
      <c r="U173" s="221">
        <f t="shared" si="26"/>
        <v>0</v>
      </c>
      <c r="V173" s="221">
        <f t="shared" si="27"/>
        <v>15980.18</v>
      </c>
      <c r="W173" s="172">
        <v>0</v>
      </c>
      <c r="X173" s="172">
        <f t="shared" si="28"/>
        <v>15980.18</v>
      </c>
      <c r="Y173" s="173">
        <v>0</v>
      </c>
      <c r="Z173" s="172">
        <f t="shared" si="29"/>
        <v>15980.18</v>
      </c>
    </row>
    <row r="174" spans="1:26" ht="12.75" hidden="1" outlineLevel="1">
      <c r="A174" s="172" t="s">
        <v>2359</v>
      </c>
      <c r="C174" s="173" t="s">
        <v>2360</v>
      </c>
      <c r="D174" s="173" t="s">
        <v>2361</v>
      </c>
      <c r="E174" s="172">
        <v>0</v>
      </c>
      <c r="F174" s="172">
        <v>0</v>
      </c>
      <c r="G174" s="221">
        <f t="shared" si="23"/>
        <v>0</v>
      </c>
      <c r="H174" s="222">
        <v>947.64</v>
      </c>
      <c r="I174" s="222">
        <v>0</v>
      </c>
      <c r="J174" s="222">
        <v>0</v>
      </c>
      <c r="K174" s="222">
        <v>0</v>
      </c>
      <c r="L174" s="222">
        <f t="shared" si="24"/>
        <v>0</v>
      </c>
      <c r="M174" s="222">
        <v>0</v>
      </c>
      <c r="N174" s="222">
        <v>0</v>
      </c>
      <c r="O174" s="222">
        <v>0</v>
      </c>
      <c r="P174" s="222">
        <f t="shared" si="25"/>
        <v>0</v>
      </c>
      <c r="Q174" s="221">
        <v>0</v>
      </c>
      <c r="R174" s="221">
        <v>0</v>
      </c>
      <c r="S174" s="221">
        <v>0</v>
      </c>
      <c r="T174" s="221">
        <v>0</v>
      </c>
      <c r="U174" s="221">
        <f t="shared" si="26"/>
        <v>0</v>
      </c>
      <c r="V174" s="221">
        <f t="shared" si="27"/>
        <v>947.64</v>
      </c>
      <c r="W174" s="172">
        <v>0</v>
      </c>
      <c r="X174" s="172">
        <f t="shared" si="28"/>
        <v>947.64</v>
      </c>
      <c r="Y174" s="173">
        <v>0</v>
      </c>
      <c r="Z174" s="172">
        <f t="shared" si="29"/>
        <v>947.64</v>
      </c>
    </row>
    <row r="175" spans="1:26" ht="12.75" hidden="1" outlineLevel="1">
      <c r="A175" s="172" t="s">
        <v>2362</v>
      </c>
      <c r="C175" s="173" t="s">
        <v>2363</v>
      </c>
      <c r="D175" s="173" t="s">
        <v>2364</v>
      </c>
      <c r="E175" s="172">
        <v>0</v>
      </c>
      <c r="F175" s="172">
        <v>7788.02</v>
      </c>
      <c r="G175" s="221">
        <f t="shared" si="23"/>
        <v>7788.02</v>
      </c>
      <c r="H175" s="222">
        <v>1497.18</v>
      </c>
      <c r="I175" s="222">
        <v>0</v>
      </c>
      <c r="J175" s="222">
        <v>0</v>
      </c>
      <c r="K175" s="222">
        <v>0</v>
      </c>
      <c r="L175" s="222">
        <f t="shared" si="24"/>
        <v>0</v>
      </c>
      <c r="M175" s="222">
        <v>0</v>
      </c>
      <c r="N175" s="222">
        <v>0</v>
      </c>
      <c r="O175" s="222">
        <v>0</v>
      </c>
      <c r="P175" s="222">
        <f t="shared" si="25"/>
        <v>0</v>
      </c>
      <c r="Q175" s="221">
        <v>0</v>
      </c>
      <c r="R175" s="221">
        <v>0</v>
      </c>
      <c r="S175" s="221">
        <v>0</v>
      </c>
      <c r="T175" s="221">
        <v>0</v>
      </c>
      <c r="U175" s="221">
        <f t="shared" si="26"/>
        <v>0</v>
      </c>
      <c r="V175" s="221">
        <f t="shared" si="27"/>
        <v>9285.2</v>
      </c>
      <c r="W175" s="172">
        <v>0</v>
      </c>
      <c r="X175" s="172">
        <f t="shared" si="28"/>
        <v>9285.2</v>
      </c>
      <c r="Y175" s="173">
        <v>0</v>
      </c>
      <c r="Z175" s="172">
        <f t="shared" si="29"/>
        <v>9285.2</v>
      </c>
    </row>
    <row r="176" spans="1:26" ht="12.75" hidden="1" outlineLevel="1">
      <c r="A176" s="172" t="s">
        <v>2365</v>
      </c>
      <c r="C176" s="173" t="s">
        <v>2366</v>
      </c>
      <c r="D176" s="173" t="s">
        <v>2367</v>
      </c>
      <c r="E176" s="172">
        <v>0</v>
      </c>
      <c r="F176" s="172">
        <v>0</v>
      </c>
      <c r="G176" s="221">
        <f t="shared" si="23"/>
        <v>0</v>
      </c>
      <c r="H176" s="222">
        <v>252.45</v>
      </c>
      <c r="I176" s="222">
        <v>0</v>
      </c>
      <c r="J176" s="222">
        <v>0</v>
      </c>
      <c r="K176" s="222">
        <v>0</v>
      </c>
      <c r="L176" s="222">
        <f t="shared" si="24"/>
        <v>0</v>
      </c>
      <c r="M176" s="222">
        <v>0</v>
      </c>
      <c r="N176" s="222">
        <v>0</v>
      </c>
      <c r="O176" s="222">
        <v>0</v>
      </c>
      <c r="P176" s="222">
        <f t="shared" si="25"/>
        <v>0</v>
      </c>
      <c r="Q176" s="221">
        <v>0</v>
      </c>
      <c r="R176" s="221">
        <v>0</v>
      </c>
      <c r="S176" s="221">
        <v>0</v>
      </c>
      <c r="T176" s="221">
        <v>0</v>
      </c>
      <c r="U176" s="221">
        <f t="shared" si="26"/>
        <v>0</v>
      </c>
      <c r="V176" s="221">
        <f t="shared" si="27"/>
        <v>252.45</v>
      </c>
      <c r="W176" s="172">
        <v>0</v>
      </c>
      <c r="X176" s="172">
        <f t="shared" si="28"/>
        <v>252.45</v>
      </c>
      <c r="Y176" s="173">
        <v>0</v>
      </c>
      <c r="Z176" s="172">
        <f t="shared" si="29"/>
        <v>252.45</v>
      </c>
    </row>
    <row r="177" spans="1:26" ht="12.75" hidden="1" outlineLevel="1">
      <c r="A177" s="172" t="s">
        <v>2368</v>
      </c>
      <c r="C177" s="173" t="s">
        <v>2369</v>
      </c>
      <c r="D177" s="173" t="s">
        <v>2370</v>
      </c>
      <c r="E177" s="172">
        <v>0</v>
      </c>
      <c r="F177" s="172">
        <v>1637.4</v>
      </c>
      <c r="G177" s="221">
        <f t="shared" si="23"/>
        <v>1637.4</v>
      </c>
      <c r="H177" s="222">
        <v>320.75</v>
      </c>
      <c r="I177" s="222">
        <v>0</v>
      </c>
      <c r="J177" s="222">
        <v>0</v>
      </c>
      <c r="K177" s="222">
        <v>0</v>
      </c>
      <c r="L177" s="222">
        <f t="shared" si="24"/>
        <v>0</v>
      </c>
      <c r="M177" s="222">
        <v>0</v>
      </c>
      <c r="N177" s="222">
        <v>0</v>
      </c>
      <c r="O177" s="222">
        <v>0</v>
      </c>
      <c r="P177" s="222">
        <f t="shared" si="25"/>
        <v>0</v>
      </c>
      <c r="Q177" s="221">
        <v>0</v>
      </c>
      <c r="R177" s="221">
        <v>0</v>
      </c>
      <c r="S177" s="221">
        <v>0</v>
      </c>
      <c r="T177" s="221">
        <v>0</v>
      </c>
      <c r="U177" s="221">
        <f t="shared" si="26"/>
        <v>0</v>
      </c>
      <c r="V177" s="221">
        <f t="shared" si="27"/>
        <v>1958.15</v>
      </c>
      <c r="W177" s="172">
        <v>0</v>
      </c>
      <c r="X177" s="172">
        <f t="shared" si="28"/>
        <v>1958.15</v>
      </c>
      <c r="Y177" s="173">
        <v>0</v>
      </c>
      <c r="Z177" s="172">
        <f t="shared" si="29"/>
        <v>1958.15</v>
      </c>
    </row>
    <row r="178" spans="1:26" ht="12.75" hidden="1" outlineLevel="1">
      <c r="A178" s="172" t="s">
        <v>2371</v>
      </c>
      <c r="C178" s="173" t="s">
        <v>2372</v>
      </c>
      <c r="D178" s="173" t="s">
        <v>2373</v>
      </c>
      <c r="E178" s="172">
        <v>0</v>
      </c>
      <c r="F178" s="172">
        <v>2057.35</v>
      </c>
      <c r="G178" s="221">
        <f t="shared" si="23"/>
        <v>2057.35</v>
      </c>
      <c r="H178" s="222">
        <v>0</v>
      </c>
      <c r="I178" s="222">
        <v>0</v>
      </c>
      <c r="J178" s="222">
        <v>0</v>
      </c>
      <c r="K178" s="222">
        <v>0</v>
      </c>
      <c r="L178" s="222">
        <f t="shared" si="24"/>
        <v>0</v>
      </c>
      <c r="M178" s="222">
        <v>0</v>
      </c>
      <c r="N178" s="222">
        <v>0</v>
      </c>
      <c r="O178" s="222">
        <v>0</v>
      </c>
      <c r="P178" s="222">
        <f t="shared" si="25"/>
        <v>0</v>
      </c>
      <c r="Q178" s="221">
        <v>0</v>
      </c>
      <c r="R178" s="221">
        <v>0</v>
      </c>
      <c r="S178" s="221">
        <v>0</v>
      </c>
      <c r="T178" s="221">
        <v>0</v>
      </c>
      <c r="U178" s="221">
        <f t="shared" si="26"/>
        <v>0</v>
      </c>
      <c r="V178" s="221">
        <f t="shared" si="27"/>
        <v>2057.35</v>
      </c>
      <c r="W178" s="172">
        <v>0</v>
      </c>
      <c r="X178" s="172">
        <f t="shared" si="28"/>
        <v>2057.35</v>
      </c>
      <c r="Y178" s="173">
        <v>0</v>
      </c>
      <c r="Z178" s="172">
        <f t="shared" si="29"/>
        <v>2057.35</v>
      </c>
    </row>
    <row r="179" spans="1:26" ht="12.75" hidden="1" outlineLevel="1">
      <c r="A179" s="172" t="s">
        <v>2374</v>
      </c>
      <c r="C179" s="173" t="s">
        <v>2375</v>
      </c>
      <c r="D179" s="173" t="s">
        <v>2376</v>
      </c>
      <c r="E179" s="172">
        <v>0</v>
      </c>
      <c r="F179" s="172">
        <v>94.88</v>
      </c>
      <c r="G179" s="221">
        <f t="shared" si="23"/>
        <v>94.88</v>
      </c>
      <c r="H179" s="222">
        <v>-25.48</v>
      </c>
      <c r="I179" s="222">
        <v>0</v>
      </c>
      <c r="J179" s="222">
        <v>0</v>
      </c>
      <c r="K179" s="222">
        <v>0</v>
      </c>
      <c r="L179" s="222">
        <f t="shared" si="24"/>
        <v>0</v>
      </c>
      <c r="M179" s="222">
        <v>0</v>
      </c>
      <c r="N179" s="222">
        <v>0</v>
      </c>
      <c r="O179" s="222">
        <v>0</v>
      </c>
      <c r="P179" s="222">
        <f t="shared" si="25"/>
        <v>0</v>
      </c>
      <c r="Q179" s="221">
        <v>0</v>
      </c>
      <c r="R179" s="221">
        <v>0</v>
      </c>
      <c r="S179" s="221">
        <v>0</v>
      </c>
      <c r="T179" s="221">
        <v>0</v>
      </c>
      <c r="U179" s="221">
        <f t="shared" si="26"/>
        <v>0</v>
      </c>
      <c r="V179" s="221">
        <f t="shared" si="27"/>
        <v>69.39999999999999</v>
      </c>
      <c r="W179" s="172">
        <v>0</v>
      </c>
      <c r="X179" s="172">
        <f t="shared" si="28"/>
        <v>69.39999999999999</v>
      </c>
      <c r="Y179" s="173">
        <v>0</v>
      </c>
      <c r="Z179" s="172">
        <f t="shared" si="29"/>
        <v>69.39999999999999</v>
      </c>
    </row>
    <row r="180" spans="1:26" ht="12.75" hidden="1" outlineLevel="1">
      <c r="A180" s="172" t="s">
        <v>2377</v>
      </c>
      <c r="C180" s="173" t="s">
        <v>2378</v>
      </c>
      <c r="D180" s="173" t="s">
        <v>2379</v>
      </c>
      <c r="E180" s="172">
        <v>0</v>
      </c>
      <c r="F180" s="172">
        <v>22.54</v>
      </c>
      <c r="G180" s="221">
        <f t="shared" si="23"/>
        <v>22.54</v>
      </c>
      <c r="H180" s="222">
        <v>0</v>
      </c>
      <c r="I180" s="222">
        <v>0</v>
      </c>
      <c r="J180" s="222">
        <v>0</v>
      </c>
      <c r="K180" s="222">
        <v>0</v>
      </c>
      <c r="L180" s="222">
        <f t="shared" si="24"/>
        <v>0</v>
      </c>
      <c r="M180" s="222">
        <v>0</v>
      </c>
      <c r="N180" s="222">
        <v>0</v>
      </c>
      <c r="O180" s="222">
        <v>0</v>
      </c>
      <c r="P180" s="222">
        <f t="shared" si="25"/>
        <v>0</v>
      </c>
      <c r="Q180" s="221">
        <v>0</v>
      </c>
      <c r="R180" s="221">
        <v>0</v>
      </c>
      <c r="S180" s="221">
        <v>0</v>
      </c>
      <c r="T180" s="221">
        <v>0</v>
      </c>
      <c r="U180" s="221">
        <f t="shared" si="26"/>
        <v>0</v>
      </c>
      <c r="V180" s="221">
        <f t="shared" si="27"/>
        <v>22.54</v>
      </c>
      <c r="W180" s="172">
        <v>0</v>
      </c>
      <c r="X180" s="172">
        <f t="shared" si="28"/>
        <v>22.54</v>
      </c>
      <c r="Y180" s="173">
        <v>0</v>
      </c>
      <c r="Z180" s="172">
        <f t="shared" si="29"/>
        <v>22.54</v>
      </c>
    </row>
    <row r="181" spans="1:26" ht="12.75" hidden="1" outlineLevel="1">
      <c r="A181" s="172" t="s">
        <v>2380</v>
      </c>
      <c r="C181" s="173" t="s">
        <v>2381</v>
      </c>
      <c r="D181" s="173" t="s">
        <v>2382</v>
      </c>
      <c r="E181" s="172">
        <v>0</v>
      </c>
      <c r="F181" s="172">
        <v>1175.46</v>
      </c>
      <c r="G181" s="221">
        <f t="shared" si="23"/>
        <v>1175.46</v>
      </c>
      <c r="H181" s="222">
        <v>754.75</v>
      </c>
      <c r="I181" s="222">
        <v>0</v>
      </c>
      <c r="J181" s="222">
        <v>0</v>
      </c>
      <c r="K181" s="222">
        <v>0</v>
      </c>
      <c r="L181" s="222">
        <f t="shared" si="24"/>
        <v>0</v>
      </c>
      <c r="M181" s="222">
        <v>0</v>
      </c>
      <c r="N181" s="222">
        <v>0</v>
      </c>
      <c r="O181" s="222">
        <v>0</v>
      </c>
      <c r="P181" s="222">
        <f t="shared" si="25"/>
        <v>0</v>
      </c>
      <c r="Q181" s="221">
        <v>0</v>
      </c>
      <c r="R181" s="221">
        <v>0</v>
      </c>
      <c r="S181" s="221">
        <v>0</v>
      </c>
      <c r="T181" s="221">
        <v>0</v>
      </c>
      <c r="U181" s="221">
        <f t="shared" si="26"/>
        <v>0</v>
      </c>
      <c r="V181" s="221">
        <f t="shared" si="27"/>
        <v>1930.21</v>
      </c>
      <c r="W181" s="172">
        <v>0</v>
      </c>
      <c r="X181" s="172">
        <f t="shared" si="28"/>
        <v>1930.21</v>
      </c>
      <c r="Y181" s="173">
        <v>0</v>
      </c>
      <c r="Z181" s="172">
        <f t="shared" si="29"/>
        <v>1930.21</v>
      </c>
    </row>
    <row r="182" spans="1:26" ht="12.75" hidden="1" outlineLevel="1">
      <c r="A182" s="172" t="s">
        <v>2383</v>
      </c>
      <c r="C182" s="173" t="s">
        <v>2384</v>
      </c>
      <c r="D182" s="173" t="s">
        <v>2385</v>
      </c>
      <c r="E182" s="172">
        <v>0</v>
      </c>
      <c r="F182" s="172">
        <v>4873.12</v>
      </c>
      <c r="G182" s="221">
        <f t="shared" si="23"/>
        <v>4873.12</v>
      </c>
      <c r="H182" s="222">
        <v>1610.36</v>
      </c>
      <c r="I182" s="222">
        <v>0</v>
      </c>
      <c r="J182" s="222">
        <v>0</v>
      </c>
      <c r="K182" s="222">
        <v>0</v>
      </c>
      <c r="L182" s="222">
        <f t="shared" si="24"/>
        <v>0</v>
      </c>
      <c r="M182" s="222">
        <v>0</v>
      </c>
      <c r="N182" s="222">
        <v>0</v>
      </c>
      <c r="O182" s="222">
        <v>0</v>
      </c>
      <c r="P182" s="222">
        <f t="shared" si="25"/>
        <v>0</v>
      </c>
      <c r="Q182" s="221">
        <v>0</v>
      </c>
      <c r="R182" s="221">
        <v>0</v>
      </c>
      <c r="S182" s="221">
        <v>0</v>
      </c>
      <c r="T182" s="221">
        <v>0</v>
      </c>
      <c r="U182" s="221">
        <f t="shared" si="26"/>
        <v>0</v>
      </c>
      <c r="V182" s="221">
        <f t="shared" si="27"/>
        <v>6483.48</v>
      </c>
      <c r="W182" s="172">
        <v>0</v>
      </c>
      <c r="X182" s="172">
        <f t="shared" si="28"/>
        <v>6483.48</v>
      </c>
      <c r="Y182" s="173">
        <v>0</v>
      </c>
      <c r="Z182" s="172">
        <f t="shared" si="29"/>
        <v>6483.48</v>
      </c>
    </row>
    <row r="183" spans="1:26" ht="12.75" hidden="1" outlineLevel="1">
      <c r="A183" s="172" t="s">
        <v>2386</v>
      </c>
      <c r="C183" s="173" t="s">
        <v>2387</v>
      </c>
      <c r="D183" s="173" t="s">
        <v>2388</v>
      </c>
      <c r="E183" s="172">
        <v>0</v>
      </c>
      <c r="F183" s="172">
        <v>0</v>
      </c>
      <c r="G183" s="221">
        <f t="shared" si="23"/>
        <v>0</v>
      </c>
      <c r="H183" s="222">
        <v>482.4</v>
      </c>
      <c r="I183" s="222">
        <v>0</v>
      </c>
      <c r="J183" s="222">
        <v>0</v>
      </c>
      <c r="K183" s="222">
        <v>0</v>
      </c>
      <c r="L183" s="222">
        <f t="shared" si="24"/>
        <v>0</v>
      </c>
      <c r="M183" s="222">
        <v>0</v>
      </c>
      <c r="N183" s="222">
        <v>0</v>
      </c>
      <c r="O183" s="222">
        <v>0</v>
      </c>
      <c r="P183" s="222">
        <f t="shared" si="25"/>
        <v>0</v>
      </c>
      <c r="Q183" s="221">
        <v>0</v>
      </c>
      <c r="R183" s="221">
        <v>0</v>
      </c>
      <c r="S183" s="221">
        <v>0</v>
      </c>
      <c r="T183" s="221">
        <v>0</v>
      </c>
      <c r="U183" s="221">
        <f t="shared" si="26"/>
        <v>0</v>
      </c>
      <c r="V183" s="221">
        <f t="shared" si="27"/>
        <v>482.4</v>
      </c>
      <c r="W183" s="172">
        <v>0</v>
      </c>
      <c r="X183" s="172">
        <f t="shared" si="28"/>
        <v>482.4</v>
      </c>
      <c r="Y183" s="173">
        <v>0</v>
      </c>
      <c r="Z183" s="172">
        <f t="shared" si="29"/>
        <v>482.4</v>
      </c>
    </row>
    <row r="184" spans="1:26" ht="12.75" hidden="1" outlineLevel="1">
      <c r="A184" s="172" t="s">
        <v>2389</v>
      </c>
      <c r="C184" s="173" t="s">
        <v>2390</v>
      </c>
      <c r="D184" s="173" t="s">
        <v>2391</v>
      </c>
      <c r="E184" s="172">
        <v>0</v>
      </c>
      <c r="F184" s="172">
        <v>150.5</v>
      </c>
      <c r="G184" s="221">
        <f t="shared" si="23"/>
        <v>150.5</v>
      </c>
      <c r="H184" s="222">
        <v>148.75</v>
      </c>
      <c r="I184" s="222">
        <v>0</v>
      </c>
      <c r="J184" s="222">
        <v>0</v>
      </c>
      <c r="K184" s="222">
        <v>0</v>
      </c>
      <c r="L184" s="222">
        <f t="shared" si="24"/>
        <v>0</v>
      </c>
      <c r="M184" s="222">
        <v>0</v>
      </c>
      <c r="N184" s="222">
        <v>0</v>
      </c>
      <c r="O184" s="222">
        <v>0</v>
      </c>
      <c r="P184" s="222">
        <f t="shared" si="25"/>
        <v>0</v>
      </c>
      <c r="Q184" s="221">
        <v>0</v>
      </c>
      <c r="R184" s="221">
        <v>0</v>
      </c>
      <c r="S184" s="221">
        <v>0</v>
      </c>
      <c r="T184" s="221">
        <v>0</v>
      </c>
      <c r="U184" s="221">
        <f t="shared" si="26"/>
        <v>0</v>
      </c>
      <c r="V184" s="221">
        <f t="shared" si="27"/>
        <v>299.25</v>
      </c>
      <c r="W184" s="172">
        <v>0</v>
      </c>
      <c r="X184" s="172">
        <f t="shared" si="28"/>
        <v>299.25</v>
      </c>
      <c r="Y184" s="173">
        <v>0</v>
      </c>
      <c r="Z184" s="172">
        <f t="shared" si="29"/>
        <v>299.25</v>
      </c>
    </row>
    <row r="185" spans="1:26" ht="12.75" hidden="1" outlineLevel="1">
      <c r="A185" s="172" t="s">
        <v>2392</v>
      </c>
      <c r="C185" s="173" t="s">
        <v>2393</v>
      </c>
      <c r="D185" s="173" t="s">
        <v>2394</v>
      </c>
      <c r="E185" s="172">
        <v>0</v>
      </c>
      <c r="F185" s="172">
        <v>100</v>
      </c>
      <c r="G185" s="221">
        <f t="shared" si="23"/>
        <v>100</v>
      </c>
      <c r="H185" s="222">
        <v>200</v>
      </c>
      <c r="I185" s="222">
        <v>0</v>
      </c>
      <c r="J185" s="222">
        <v>0</v>
      </c>
      <c r="K185" s="222">
        <v>0</v>
      </c>
      <c r="L185" s="222">
        <f t="shared" si="24"/>
        <v>0</v>
      </c>
      <c r="M185" s="222">
        <v>0</v>
      </c>
      <c r="N185" s="222">
        <v>0</v>
      </c>
      <c r="O185" s="222">
        <v>0</v>
      </c>
      <c r="P185" s="222">
        <f t="shared" si="25"/>
        <v>0</v>
      </c>
      <c r="Q185" s="221">
        <v>0</v>
      </c>
      <c r="R185" s="221">
        <v>0</v>
      </c>
      <c r="S185" s="221">
        <v>0</v>
      </c>
      <c r="T185" s="221">
        <v>0</v>
      </c>
      <c r="U185" s="221">
        <f t="shared" si="26"/>
        <v>0</v>
      </c>
      <c r="V185" s="221">
        <f t="shared" si="27"/>
        <v>300</v>
      </c>
      <c r="W185" s="172">
        <v>0</v>
      </c>
      <c r="X185" s="172">
        <f t="shared" si="28"/>
        <v>300</v>
      </c>
      <c r="Y185" s="173">
        <v>0</v>
      </c>
      <c r="Z185" s="172">
        <f t="shared" si="29"/>
        <v>300</v>
      </c>
    </row>
    <row r="186" spans="1:26" ht="12.75" hidden="1" outlineLevel="1">
      <c r="A186" s="172" t="s">
        <v>2395</v>
      </c>
      <c r="C186" s="173" t="s">
        <v>2396</v>
      </c>
      <c r="D186" s="173" t="s">
        <v>2397</v>
      </c>
      <c r="E186" s="172">
        <v>0</v>
      </c>
      <c r="F186" s="172">
        <v>5883.64</v>
      </c>
      <c r="G186" s="221">
        <f t="shared" si="23"/>
        <v>5883.64</v>
      </c>
      <c r="H186" s="222">
        <v>0</v>
      </c>
      <c r="I186" s="222">
        <v>0</v>
      </c>
      <c r="J186" s="222">
        <v>0</v>
      </c>
      <c r="K186" s="222">
        <v>0</v>
      </c>
      <c r="L186" s="222">
        <f t="shared" si="24"/>
        <v>0</v>
      </c>
      <c r="M186" s="222">
        <v>0</v>
      </c>
      <c r="N186" s="222">
        <v>0</v>
      </c>
      <c r="O186" s="222">
        <v>0</v>
      </c>
      <c r="P186" s="222">
        <f t="shared" si="25"/>
        <v>0</v>
      </c>
      <c r="Q186" s="221">
        <v>0</v>
      </c>
      <c r="R186" s="221">
        <v>0</v>
      </c>
      <c r="S186" s="221">
        <v>0</v>
      </c>
      <c r="T186" s="221">
        <v>0</v>
      </c>
      <c r="U186" s="221">
        <f t="shared" si="26"/>
        <v>0</v>
      </c>
      <c r="V186" s="221">
        <f t="shared" si="27"/>
        <v>5883.64</v>
      </c>
      <c r="W186" s="172">
        <v>0</v>
      </c>
      <c r="X186" s="172">
        <f t="shared" si="28"/>
        <v>5883.64</v>
      </c>
      <c r="Y186" s="173">
        <v>0</v>
      </c>
      <c r="Z186" s="172">
        <f t="shared" si="29"/>
        <v>5883.64</v>
      </c>
    </row>
    <row r="187" spans="1:26" ht="12.75" hidden="1" outlineLevel="1">
      <c r="A187" s="172" t="s">
        <v>2398</v>
      </c>
      <c r="C187" s="173" t="s">
        <v>2399</v>
      </c>
      <c r="D187" s="173" t="s">
        <v>2400</v>
      </c>
      <c r="E187" s="172">
        <v>0</v>
      </c>
      <c r="F187" s="172">
        <v>3331.51</v>
      </c>
      <c r="G187" s="221">
        <f t="shared" si="23"/>
        <v>3331.51</v>
      </c>
      <c r="H187" s="222">
        <v>0</v>
      </c>
      <c r="I187" s="222">
        <v>0</v>
      </c>
      <c r="J187" s="222">
        <v>0</v>
      </c>
      <c r="K187" s="222">
        <v>0</v>
      </c>
      <c r="L187" s="222">
        <f t="shared" si="24"/>
        <v>0</v>
      </c>
      <c r="M187" s="222">
        <v>0</v>
      </c>
      <c r="N187" s="222">
        <v>0</v>
      </c>
      <c r="O187" s="222">
        <v>0</v>
      </c>
      <c r="P187" s="222">
        <f t="shared" si="25"/>
        <v>0</v>
      </c>
      <c r="Q187" s="221">
        <v>0</v>
      </c>
      <c r="R187" s="221">
        <v>0</v>
      </c>
      <c r="S187" s="221">
        <v>0</v>
      </c>
      <c r="T187" s="221">
        <v>0</v>
      </c>
      <c r="U187" s="221">
        <f t="shared" si="26"/>
        <v>0</v>
      </c>
      <c r="V187" s="221">
        <f t="shared" si="27"/>
        <v>3331.51</v>
      </c>
      <c r="W187" s="172">
        <v>0</v>
      </c>
      <c r="X187" s="172">
        <f t="shared" si="28"/>
        <v>3331.51</v>
      </c>
      <c r="Y187" s="173">
        <v>0</v>
      </c>
      <c r="Z187" s="172">
        <f t="shared" si="29"/>
        <v>3331.51</v>
      </c>
    </row>
    <row r="188" spans="1:26" ht="12.75" hidden="1" outlineLevel="1">
      <c r="A188" s="172" t="s">
        <v>2401</v>
      </c>
      <c r="C188" s="173" t="s">
        <v>2402</v>
      </c>
      <c r="D188" s="173" t="s">
        <v>2403</v>
      </c>
      <c r="E188" s="172">
        <v>0</v>
      </c>
      <c r="F188" s="172">
        <v>213222.05</v>
      </c>
      <c r="G188" s="221">
        <f t="shared" si="23"/>
        <v>213222.05</v>
      </c>
      <c r="H188" s="222">
        <v>12939.49</v>
      </c>
      <c r="I188" s="222">
        <v>0</v>
      </c>
      <c r="J188" s="222">
        <v>0</v>
      </c>
      <c r="K188" s="222">
        <v>0</v>
      </c>
      <c r="L188" s="222">
        <f t="shared" si="24"/>
        <v>0</v>
      </c>
      <c r="M188" s="222">
        <v>0</v>
      </c>
      <c r="N188" s="222">
        <v>0</v>
      </c>
      <c r="O188" s="222">
        <v>0</v>
      </c>
      <c r="P188" s="222">
        <f t="shared" si="25"/>
        <v>0</v>
      </c>
      <c r="Q188" s="221">
        <v>0</v>
      </c>
      <c r="R188" s="221">
        <v>0</v>
      </c>
      <c r="S188" s="221">
        <v>0</v>
      </c>
      <c r="T188" s="221">
        <v>0</v>
      </c>
      <c r="U188" s="221">
        <f t="shared" si="26"/>
        <v>0</v>
      </c>
      <c r="V188" s="221">
        <f t="shared" si="27"/>
        <v>226161.53999999998</v>
      </c>
      <c r="W188" s="172">
        <v>0</v>
      </c>
      <c r="X188" s="172">
        <f t="shared" si="28"/>
        <v>226161.53999999998</v>
      </c>
      <c r="Y188" s="173">
        <v>0</v>
      </c>
      <c r="Z188" s="172">
        <f t="shared" si="29"/>
        <v>226161.53999999998</v>
      </c>
    </row>
    <row r="189" spans="1:26" ht="12.75" hidden="1" outlineLevel="1">
      <c r="A189" s="172" t="s">
        <v>2404</v>
      </c>
      <c r="C189" s="173" t="s">
        <v>2405</v>
      </c>
      <c r="D189" s="173" t="s">
        <v>2406</v>
      </c>
      <c r="E189" s="172">
        <v>0</v>
      </c>
      <c r="F189" s="172">
        <v>697278.67</v>
      </c>
      <c r="G189" s="221">
        <f t="shared" si="23"/>
        <v>697278.67</v>
      </c>
      <c r="H189" s="222">
        <v>29150.77</v>
      </c>
      <c r="I189" s="222">
        <v>0</v>
      </c>
      <c r="J189" s="222">
        <v>0</v>
      </c>
      <c r="K189" s="222">
        <v>0</v>
      </c>
      <c r="L189" s="222">
        <f t="shared" si="24"/>
        <v>0</v>
      </c>
      <c r="M189" s="222">
        <v>0</v>
      </c>
      <c r="N189" s="222">
        <v>0</v>
      </c>
      <c r="O189" s="222">
        <v>0</v>
      </c>
      <c r="P189" s="222">
        <f t="shared" si="25"/>
        <v>0</v>
      </c>
      <c r="Q189" s="221">
        <v>0</v>
      </c>
      <c r="R189" s="221">
        <v>0</v>
      </c>
      <c r="S189" s="221">
        <v>0</v>
      </c>
      <c r="T189" s="221">
        <v>0</v>
      </c>
      <c r="U189" s="221">
        <f t="shared" si="26"/>
        <v>0</v>
      </c>
      <c r="V189" s="221">
        <f t="shared" si="27"/>
        <v>726429.4400000001</v>
      </c>
      <c r="W189" s="172">
        <v>0</v>
      </c>
      <c r="X189" s="172">
        <f t="shared" si="28"/>
        <v>726429.4400000001</v>
      </c>
      <c r="Y189" s="173">
        <v>0</v>
      </c>
      <c r="Z189" s="172">
        <f t="shared" si="29"/>
        <v>726429.4400000001</v>
      </c>
    </row>
    <row r="190" spans="1:26" ht="12.75" hidden="1" outlineLevel="1">
      <c r="A190" s="172" t="s">
        <v>2407</v>
      </c>
      <c r="C190" s="173" t="s">
        <v>2408</v>
      </c>
      <c r="D190" s="173" t="s">
        <v>2409</v>
      </c>
      <c r="E190" s="172">
        <v>0</v>
      </c>
      <c r="F190" s="172">
        <v>11388</v>
      </c>
      <c r="G190" s="221">
        <f t="shared" si="23"/>
        <v>11388</v>
      </c>
      <c r="H190" s="222">
        <v>327.09</v>
      </c>
      <c r="I190" s="222">
        <v>0</v>
      </c>
      <c r="J190" s="222">
        <v>0</v>
      </c>
      <c r="K190" s="222">
        <v>0</v>
      </c>
      <c r="L190" s="222">
        <f t="shared" si="24"/>
        <v>0</v>
      </c>
      <c r="M190" s="222">
        <v>0</v>
      </c>
      <c r="N190" s="222">
        <v>0</v>
      </c>
      <c r="O190" s="222">
        <v>0</v>
      </c>
      <c r="P190" s="222">
        <f t="shared" si="25"/>
        <v>0</v>
      </c>
      <c r="Q190" s="221">
        <v>0</v>
      </c>
      <c r="R190" s="221">
        <v>0</v>
      </c>
      <c r="S190" s="221">
        <v>0</v>
      </c>
      <c r="T190" s="221">
        <v>0</v>
      </c>
      <c r="U190" s="221">
        <f t="shared" si="26"/>
        <v>0</v>
      </c>
      <c r="V190" s="221">
        <f t="shared" si="27"/>
        <v>11715.09</v>
      </c>
      <c r="W190" s="172">
        <v>0</v>
      </c>
      <c r="X190" s="172">
        <f t="shared" si="28"/>
        <v>11715.09</v>
      </c>
      <c r="Y190" s="173">
        <v>0</v>
      </c>
      <c r="Z190" s="172">
        <f t="shared" si="29"/>
        <v>11715.09</v>
      </c>
    </row>
    <row r="191" spans="1:26" ht="12.75" hidden="1" outlineLevel="1">
      <c r="A191" s="172" t="s">
        <v>2410</v>
      </c>
      <c r="C191" s="173" t="s">
        <v>2411</v>
      </c>
      <c r="D191" s="173" t="s">
        <v>2412</v>
      </c>
      <c r="E191" s="172">
        <v>0</v>
      </c>
      <c r="F191" s="172">
        <v>145</v>
      </c>
      <c r="G191" s="221">
        <f t="shared" si="23"/>
        <v>145</v>
      </c>
      <c r="H191" s="222">
        <v>895</v>
      </c>
      <c r="I191" s="222">
        <v>0</v>
      </c>
      <c r="J191" s="222">
        <v>0</v>
      </c>
      <c r="K191" s="222">
        <v>0</v>
      </c>
      <c r="L191" s="222">
        <f t="shared" si="24"/>
        <v>0</v>
      </c>
      <c r="M191" s="222">
        <v>0</v>
      </c>
      <c r="N191" s="222">
        <v>0</v>
      </c>
      <c r="O191" s="222">
        <v>0</v>
      </c>
      <c r="P191" s="222">
        <f t="shared" si="25"/>
        <v>0</v>
      </c>
      <c r="Q191" s="221">
        <v>0</v>
      </c>
      <c r="R191" s="221">
        <v>0</v>
      </c>
      <c r="S191" s="221">
        <v>0</v>
      </c>
      <c r="T191" s="221">
        <v>0</v>
      </c>
      <c r="U191" s="221">
        <f t="shared" si="26"/>
        <v>0</v>
      </c>
      <c r="V191" s="221">
        <f t="shared" si="27"/>
        <v>1040</v>
      </c>
      <c r="W191" s="172">
        <v>0</v>
      </c>
      <c r="X191" s="172">
        <f t="shared" si="28"/>
        <v>1040</v>
      </c>
      <c r="Y191" s="173">
        <v>0</v>
      </c>
      <c r="Z191" s="172">
        <f t="shared" si="29"/>
        <v>1040</v>
      </c>
    </row>
    <row r="192" spans="1:26" ht="12.75" hidden="1" outlineLevel="1">
      <c r="A192" s="172" t="s">
        <v>2413</v>
      </c>
      <c r="C192" s="173" t="s">
        <v>2414</v>
      </c>
      <c r="D192" s="173" t="s">
        <v>2415</v>
      </c>
      <c r="E192" s="172">
        <v>0</v>
      </c>
      <c r="F192" s="172">
        <v>18409.25</v>
      </c>
      <c r="G192" s="221">
        <f aca="true" t="shared" si="30" ref="G192:G255">E192+F192</f>
        <v>18409.25</v>
      </c>
      <c r="H192" s="222">
        <v>9804</v>
      </c>
      <c r="I192" s="222">
        <v>0</v>
      </c>
      <c r="J192" s="222">
        <v>0</v>
      </c>
      <c r="K192" s="222">
        <v>0</v>
      </c>
      <c r="L192" s="222">
        <f aca="true" t="shared" si="31" ref="L192:L255">J192+I192+K192</f>
        <v>0</v>
      </c>
      <c r="M192" s="222">
        <v>0</v>
      </c>
      <c r="N192" s="222">
        <v>0</v>
      </c>
      <c r="O192" s="222">
        <v>0</v>
      </c>
      <c r="P192" s="222">
        <f aca="true" t="shared" si="32" ref="P192:P255">M192+N192+O192</f>
        <v>0</v>
      </c>
      <c r="Q192" s="221">
        <v>0</v>
      </c>
      <c r="R192" s="221">
        <v>0</v>
      </c>
      <c r="S192" s="221">
        <v>0</v>
      </c>
      <c r="T192" s="221">
        <v>0</v>
      </c>
      <c r="U192" s="221">
        <f aca="true" t="shared" si="33" ref="U192:U255">Q192+R192+S192+T192</f>
        <v>0</v>
      </c>
      <c r="V192" s="221">
        <f aca="true" t="shared" si="34" ref="V192:V255">G192+H192+L192+P192+U192</f>
        <v>28213.25</v>
      </c>
      <c r="W192" s="172">
        <v>0</v>
      </c>
      <c r="X192" s="172">
        <f aca="true" t="shared" si="35" ref="X192:X255">V192+W192</f>
        <v>28213.25</v>
      </c>
      <c r="Y192" s="173">
        <v>0</v>
      </c>
      <c r="Z192" s="172">
        <f aca="true" t="shared" si="36" ref="Z192:Z255">X192+Y192</f>
        <v>28213.25</v>
      </c>
    </row>
    <row r="193" spans="1:26" ht="12.75" hidden="1" outlineLevel="1">
      <c r="A193" s="172" t="s">
        <v>2416</v>
      </c>
      <c r="C193" s="173" t="s">
        <v>2417</v>
      </c>
      <c r="D193" s="173" t="s">
        <v>2418</v>
      </c>
      <c r="E193" s="172">
        <v>0</v>
      </c>
      <c r="F193" s="172">
        <v>649289.73</v>
      </c>
      <c r="G193" s="221">
        <f t="shared" si="30"/>
        <v>649289.73</v>
      </c>
      <c r="H193" s="222">
        <v>80051.58</v>
      </c>
      <c r="I193" s="222">
        <v>0</v>
      </c>
      <c r="J193" s="222">
        <v>0</v>
      </c>
      <c r="K193" s="222">
        <v>0</v>
      </c>
      <c r="L193" s="222">
        <f t="shared" si="31"/>
        <v>0</v>
      </c>
      <c r="M193" s="222">
        <v>0</v>
      </c>
      <c r="N193" s="222">
        <v>0</v>
      </c>
      <c r="O193" s="222">
        <v>0</v>
      </c>
      <c r="P193" s="222">
        <f t="shared" si="32"/>
        <v>0</v>
      </c>
      <c r="Q193" s="221">
        <v>0</v>
      </c>
      <c r="R193" s="221">
        <v>0</v>
      </c>
      <c r="S193" s="221">
        <v>0</v>
      </c>
      <c r="T193" s="221">
        <v>0</v>
      </c>
      <c r="U193" s="221">
        <f t="shared" si="33"/>
        <v>0</v>
      </c>
      <c r="V193" s="221">
        <f t="shared" si="34"/>
        <v>729341.3099999999</v>
      </c>
      <c r="W193" s="172">
        <v>0</v>
      </c>
      <c r="X193" s="172">
        <f t="shared" si="35"/>
        <v>729341.3099999999</v>
      </c>
      <c r="Y193" s="173">
        <v>0</v>
      </c>
      <c r="Z193" s="172">
        <f t="shared" si="36"/>
        <v>729341.3099999999</v>
      </c>
    </row>
    <row r="194" spans="1:26" ht="12.75" hidden="1" outlineLevel="1">
      <c r="A194" s="172" t="s">
        <v>2419</v>
      </c>
      <c r="C194" s="173" t="s">
        <v>2420</v>
      </c>
      <c r="D194" s="173" t="s">
        <v>2421</v>
      </c>
      <c r="E194" s="172">
        <v>0</v>
      </c>
      <c r="F194" s="172">
        <v>1417.37</v>
      </c>
      <c r="G194" s="221">
        <f t="shared" si="30"/>
        <v>1417.37</v>
      </c>
      <c r="H194" s="222">
        <v>17722.69</v>
      </c>
      <c r="I194" s="222">
        <v>0</v>
      </c>
      <c r="J194" s="222">
        <v>0</v>
      </c>
      <c r="K194" s="222">
        <v>0</v>
      </c>
      <c r="L194" s="222">
        <f t="shared" si="31"/>
        <v>0</v>
      </c>
      <c r="M194" s="222">
        <v>0</v>
      </c>
      <c r="N194" s="222">
        <v>0</v>
      </c>
      <c r="O194" s="222">
        <v>0</v>
      </c>
      <c r="P194" s="222">
        <f t="shared" si="32"/>
        <v>0</v>
      </c>
      <c r="Q194" s="221">
        <v>0</v>
      </c>
      <c r="R194" s="221">
        <v>0</v>
      </c>
      <c r="S194" s="221">
        <v>0</v>
      </c>
      <c r="T194" s="221">
        <v>0</v>
      </c>
      <c r="U194" s="221">
        <f t="shared" si="33"/>
        <v>0</v>
      </c>
      <c r="V194" s="221">
        <f t="shared" si="34"/>
        <v>19140.059999999998</v>
      </c>
      <c r="W194" s="172">
        <v>0</v>
      </c>
      <c r="X194" s="172">
        <f t="shared" si="35"/>
        <v>19140.059999999998</v>
      </c>
      <c r="Y194" s="173">
        <v>0</v>
      </c>
      <c r="Z194" s="172">
        <f t="shared" si="36"/>
        <v>19140.059999999998</v>
      </c>
    </row>
    <row r="195" spans="1:26" ht="12.75" hidden="1" outlineLevel="1">
      <c r="A195" s="172" t="s">
        <v>2422</v>
      </c>
      <c r="C195" s="173" t="s">
        <v>2423</v>
      </c>
      <c r="D195" s="173" t="s">
        <v>2424</v>
      </c>
      <c r="E195" s="172">
        <v>0</v>
      </c>
      <c r="F195" s="172">
        <v>75334.78</v>
      </c>
      <c r="G195" s="221">
        <f t="shared" si="30"/>
        <v>75334.78</v>
      </c>
      <c r="H195" s="222">
        <v>11429.83</v>
      </c>
      <c r="I195" s="222">
        <v>0</v>
      </c>
      <c r="J195" s="222">
        <v>0</v>
      </c>
      <c r="K195" s="222">
        <v>0</v>
      </c>
      <c r="L195" s="222">
        <f t="shared" si="31"/>
        <v>0</v>
      </c>
      <c r="M195" s="222">
        <v>0</v>
      </c>
      <c r="N195" s="222">
        <v>0</v>
      </c>
      <c r="O195" s="222">
        <v>0</v>
      </c>
      <c r="P195" s="222">
        <f t="shared" si="32"/>
        <v>0</v>
      </c>
      <c r="Q195" s="221">
        <v>0</v>
      </c>
      <c r="R195" s="221">
        <v>0</v>
      </c>
      <c r="S195" s="221">
        <v>0</v>
      </c>
      <c r="T195" s="221">
        <v>0</v>
      </c>
      <c r="U195" s="221">
        <f t="shared" si="33"/>
        <v>0</v>
      </c>
      <c r="V195" s="221">
        <f t="shared" si="34"/>
        <v>86764.61</v>
      </c>
      <c r="W195" s="172">
        <v>0</v>
      </c>
      <c r="X195" s="172">
        <f t="shared" si="35"/>
        <v>86764.61</v>
      </c>
      <c r="Y195" s="173">
        <v>0</v>
      </c>
      <c r="Z195" s="172">
        <f t="shared" si="36"/>
        <v>86764.61</v>
      </c>
    </row>
    <row r="196" spans="1:26" ht="12.75" hidden="1" outlineLevel="1">
      <c r="A196" s="172" t="s">
        <v>2425</v>
      </c>
      <c r="C196" s="173" t="s">
        <v>2426</v>
      </c>
      <c r="D196" s="173" t="s">
        <v>2427</v>
      </c>
      <c r="E196" s="172">
        <v>0</v>
      </c>
      <c r="F196" s="172">
        <v>94932.07</v>
      </c>
      <c r="G196" s="221">
        <f t="shared" si="30"/>
        <v>94932.07</v>
      </c>
      <c r="H196" s="222">
        <v>15799.06</v>
      </c>
      <c r="I196" s="222">
        <v>0</v>
      </c>
      <c r="J196" s="222">
        <v>0</v>
      </c>
      <c r="K196" s="222">
        <v>0</v>
      </c>
      <c r="L196" s="222">
        <f t="shared" si="31"/>
        <v>0</v>
      </c>
      <c r="M196" s="222">
        <v>0</v>
      </c>
      <c r="N196" s="222">
        <v>0</v>
      </c>
      <c r="O196" s="222">
        <v>0</v>
      </c>
      <c r="P196" s="222">
        <f t="shared" si="32"/>
        <v>0</v>
      </c>
      <c r="Q196" s="221">
        <v>0</v>
      </c>
      <c r="R196" s="221">
        <v>0</v>
      </c>
      <c r="S196" s="221">
        <v>0</v>
      </c>
      <c r="T196" s="221">
        <v>0</v>
      </c>
      <c r="U196" s="221">
        <f t="shared" si="33"/>
        <v>0</v>
      </c>
      <c r="V196" s="221">
        <f t="shared" si="34"/>
        <v>110731.13</v>
      </c>
      <c r="W196" s="172">
        <v>0</v>
      </c>
      <c r="X196" s="172">
        <f t="shared" si="35"/>
        <v>110731.13</v>
      </c>
      <c r="Y196" s="173">
        <v>0</v>
      </c>
      <c r="Z196" s="172">
        <f t="shared" si="36"/>
        <v>110731.13</v>
      </c>
    </row>
    <row r="197" spans="1:26" ht="12.75" hidden="1" outlineLevel="1">
      <c r="A197" s="172" t="s">
        <v>2428</v>
      </c>
      <c r="C197" s="173" t="s">
        <v>2429</v>
      </c>
      <c r="D197" s="173" t="s">
        <v>2430</v>
      </c>
      <c r="E197" s="172">
        <v>0</v>
      </c>
      <c r="F197" s="172">
        <v>24116.73</v>
      </c>
      <c r="G197" s="221">
        <f t="shared" si="30"/>
        <v>24116.73</v>
      </c>
      <c r="H197" s="222">
        <v>5124.8</v>
      </c>
      <c r="I197" s="222">
        <v>0</v>
      </c>
      <c r="J197" s="222">
        <v>0</v>
      </c>
      <c r="K197" s="222">
        <v>0</v>
      </c>
      <c r="L197" s="222">
        <f t="shared" si="31"/>
        <v>0</v>
      </c>
      <c r="M197" s="222">
        <v>0</v>
      </c>
      <c r="N197" s="222">
        <v>0</v>
      </c>
      <c r="O197" s="222">
        <v>0</v>
      </c>
      <c r="P197" s="222">
        <f t="shared" si="32"/>
        <v>0</v>
      </c>
      <c r="Q197" s="221">
        <v>0</v>
      </c>
      <c r="R197" s="221">
        <v>0</v>
      </c>
      <c r="S197" s="221">
        <v>0</v>
      </c>
      <c r="T197" s="221">
        <v>0</v>
      </c>
      <c r="U197" s="221">
        <f t="shared" si="33"/>
        <v>0</v>
      </c>
      <c r="V197" s="221">
        <f t="shared" si="34"/>
        <v>29241.53</v>
      </c>
      <c r="W197" s="172">
        <v>0</v>
      </c>
      <c r="X197" s="172">
        <f t="shared" si="35"/>
        <v>29241.53</v>
      </c>
      <c r="Y197" s="173">
        <v>0</v>
      </c>
      <c r="Z197" s="172">
        <f t="shared" si="36"/>
        <v>29241.53</v>
      </c>
    </row>
    <row r="198" spans="1:26" ht="12.75" hidden="1" outlineLevel="1">
      <c r="A198" s="172" t="s">
        <v>2431</v>
      </c>
      <c r="C198" s="173" t="s">
        <v>2432</v>
      </c>
      <c r="D198" s="173" t="s">
        <v>2433</v>
      </c>
      <c r="E198" s="172">
        <v>0</v>
      </c>
      <c r="F198" s="172">
        <v>550.45</v>
      </c>
      <c r="G198" s="221">
        <f t="shared" si="30"/>
        <v>550.45</v>
      </c>
      <c r="H198" s="222">
        <v>0</v>
      </c>
      <c r="I198" s="222">
        <v>0</v>
      </c>
      <c r="J198" s="222">
        <v>0</v>
      </c>
      <c r="K198" s="222">
        <v>0</v>
      </c>
      <c r="L198" s="222">
        <f t="shared" si="31"/>
        <v>0</v>
      </c>
      <c r="M198" s="222">
        <v>0</v>
      </c>
      <c r="N198" s="222">
        <v>0</v>
      </c>
      <c r="O198" s="222">
        <v>0</v>
      </c>
      <c r="P198" s="222">
        <f t="shared" si="32"/>
        <v>0</v>
      </c>
      <c r="Q198" s="221">
        <v>0</v>
      </c>
      <c r="R198" s="221">
        <v>0</v>
      </c>
      <c r="S198" s="221">
        <v>0</v>
      </c>
      <c r="T198" s="221">
        <v>0</v>
      </c>
      <c r="U198" s="221">
        <f t="shared" si="33"/>
        <v>0</v>
      </c>
      <c r="V198" s="221">
        <f t="shared" si="34"/>
        <v>550.45</v>
      </c>
      <c r="W198" s="172">
        <v>0</v>
      </c>
      <c r="X198" s="172">
        <f t="shared" si="35"/>
        <v>550.45</v>
      </c>
      <c r="Y198" s="173">
        <v>0</v>
      </c>
      <c r="Z198" s="172">
        <f t="shared" si="36"/>
        <v>550.45</v>
      </c>
    </row>
    <row r="199" spans="1:26" ht="12.75" hidden="1" outlineLevel="1">
      <c r="A199" s="172" t="s">
        <v>2434</v>
      </c>
      <c r="C199" s="173" t="s">
        <v>2435</v>
      </c>
      <c r="D199" s="173" t="s">
        <v>2436</v>
      </c>
      <c r="E199" s="172">
        <v>0</v>
      </c>
      <c r="F199" s="172">
        <v>164961.41</v>
      </c>
      <c r="G199" s="221">
        <f t="shared" si="30"/>
        <v>164961.41</v>
      </c>
      <c r="H199" s="222">
        <v>35591.5</v>
      </c>
      <c r="I199" s="222">
        <v>525</v>
      </c>
      <c r="J199" s="222">
        <v>0</v>
      </c>
      <c r="K199" s="222">
        <v>0</v>
      </c>
      <c r="L199" s="222">
        <f t="shared" si="31"/>
        <v>525</v>
      </c>
      <c r="M199" s="222">
        <v>0</v>
      </c>
      <c r="N199" s="222">
        <v>0</v>
      </c>
      <c r="O199" s="222">
        <v>0</v>
      </c>
      <c r="P199" s="222">
        <f t="shared" si="32"/>
        <v>0</v>
      </c>
      <c r="Q199" s="221">
        <v>0</v>
      </c>
      <c r="R199" s="221">
        <v>0</v>
      </c>
      <c r="S199" s="221">
        <v>0</v>
      </c>
      <c r="T199" s="221">
        <v>0</v>
      </c>
      <c r="U199" s="221">
        <f t="shared" si="33"/>
        <v>0</v>
      </c>
      <c r="V199" s="221">
        <f t="shared" si="34"/>
        <v>201077.91</v>
      </c>
      <c r="W199" s="172">
        <v>0</v>
      </c>
      <c r="X199" s="172">
        <f t="shared" si="35"/>
        <v>201077.91</v>
      </c>
      <c r="Y199" s="173">
        <v>525</v>
      </c>
      <c r="Z199" s="172">
        <f t="shared" si="36"/>
        <v>201602.91</v>
      </c>
    </row>
    <row r="200" spans="1:26" ht="12.75" hidden="1" outlineLevel="1">
      <c r="A200" s="172" t="s">
        <v>2437</v>
      </c>
      <c r="C200" s="173" t="s">
        <v>2438</v>
      </c>
      <c r="D200" s="173" t="s">
        <v>2439</v>
      </c>
      <c r="E200" s="172">
        <v>0</v>
      </c>
      <c r="F200" s="172">
        <v>1275</v>
      </c>
      <c r="G200" s="221">
        <f t="shared" si="30"/>
        <v>1275</v>
      </c>
      <c r="H200" s="222">
        <v>0</v>
      </c>
      <c r="I200" s="222">
        <v>0</v>
      </c>
      <c r="J200" s="222">
        <v>0</v>
      </c>
      <c r="K200" s="222">
        <v>0</v>
      </c>
      <c r="L200" s="222">
        <f t="shared" si="31"/>
        <v>0</v>
      </c>
      <c r="M200" s="222">
        <v>0</v>
      </c>
      <c r="N200" s="222">
        <v>0</v>
      </c>
      <c r="O200" s="222">
        <v>0</v>
      </c>
      <c r="P200" s="222">
        <f t="shared" si="32"/>
        <v>0</v>
      </c>
      <c r="Q200" s="221">
        <v>0</v>
      </c>
      <c r="R200" s="221">
        <v>0</v>
      </c>
      <c r="S200" s="221">
        <v>0</v>
      </c>
      <c r="T200" s="221">
        <v>0</v>
      </c>
      <c r="U200" s="221">
        <f t="shared" si="33"/>
        <v>0</v>
      </c>
      <c r="V200" s="221">
        <f t="shared" si="34"/>
        <v>1275</v>
      </c>
      <c r="W200" s="172">
        <v>0</v>
      </c>
      <c r="X200" s="172">
        <f t="shared" si="35"/>
        <v>1275</v>
      </c>
      <c r="Y200" s="173">
        <v>0</v>
      </c>
      <c r="Z200" s="172">
        <f t="shared" si="36"/>
        <v>1275</v>
      </c>
    </row>
    <row r="201" spans="1:26" ht="12.75" hidden="1" outlineLevel="1">
      <c r="A201" s="172" t="s">
        <v>2440</v>
      </c>
      <c r="C201" s="173" t="s">
        <v>2441</v>
      </c>
      <c r="D201" s="173" t="s">
        <v>2442</v>
      </c>
      <c r="E201" s="172">
        <v>0</v>
      </c>
      <c r="F201" s="172">
        <v>74960.19</v>
      </c>
      <c r="G201" s="221">
        <f t="shared" si="30"/>
        <v>74960.19</v>
      </c>
      <c r="H201" s="222">
        <v>36821.25</v>
      </c>
      <c r="I201" s="222">
        <v>0</v>
      </c>
      <c r="J201" s="222">
        <v>0</v>
      </c>
      <c r="K201" s="222">
        <v>0</v>
      </c>
      <c r="L201" s="222">
        <f t="shared" si="31"/>
        <v>0</v>
      </c>
      <c r="M201" s="222">
        <v>0</v>
      </c>
      <c r="N201" s="222">
        <v>0</v>
      </c>
      <c r="O201" s="222">
        <v>0</v>
      </c>
      <c r="P201" s="222">
        <f t="shared" si="32"/>
        <v>0</v>
      </c>
      <c r="Q201" s="221">
        <v>0</v>
      </c>
      <c r="R201" s="221">
        <v>0</v>
      </c>
      <c r="S201" s="221">
        <v>0</v>
      </c>
      <c r="T201" s="221">
        <v>0</v>
      </c>
      <c r="U201" s="221">
        <f t="shared" si="33"/>
        <v>0</v>
      </c>
      <c r="V201" s="221">
        <f t="shared" si="34"/>
        <v>111781.44</v>
      </c>
      <c r="W201" s="172">
        <v>0</v>
      </c>
      <c r="X201" s="172">
        <f t="shared" si="35"/>
        <v>111781.44</v>
      </c>
      <c r="Y201" s="173">
        <v>0</v>
      </c>
      <c r="Z201" s="172">
        <f t="shared" si="36"/>
        <v>111781.44</v>
      </c>
    </row>
    <row r="202" spans="1:26" ht="12.75" hidden="1" outlineLevel="1">
      <c r="A202" s="172" t="s">
        <v>2443</v>
      </c>
      <c r="C202" s="173" t="s">
        <v>2444</v>
      </c>
      <c r="D202" s="173" t="s">
        <v>2445</v>
      </c>
      <c r="E202" s="172">
        <v>0</v>
      </c>
      <c r="F202" s="172">
        <v>85672.21</v>
      </c>
      <c r="G202" s="221">
        <f t="shared" si="30"/>
        <v>85672.21</v>
      </c>
      <c r="H202" s="222">
        <v>16714.91</v>
      </c>
      <c r="I202" s="222">
        <v>0</v>
      </c>
      <c r="J202" s="222">
        <v>0</v>
      </c>
      <c r="K202" s="222">
        <v>0</v>
      </c>
      <c r="L202" s="222">
        <f t="shared" si="31"/>
        <v>0</v>
      </c>
      <c r="M202" s="222">
        <v>0</v>
      </c>
      <c r="N202" s="222">
        <v>0</v>
      </c>
      <c r="O202" s="222">
        <v>0</v>
      </c>
      <c r="P202" s="222">
        <f t="shared" si="32"/>
        <v>0</v>
      </c>
      <c r="Q202" s="221">
        <v>0</v>
      </c>
      <c r="R202" s="221">
        <v>0</v>
      </c>
      <c r="S202" s="221">
        <v>0</v>
      </c>
      <c r="T202" s="221">
        <v>0</v>
      </c>
      <c r="U202" s="221">
        <f t="shared" si="33"/>
        <v>0</v>
      </c>
      <c r="V202" s="221">
        <f t="shared" si="34"/>
        <v>102387.12000000001</v>
      </c>
      <c r="W202" s="172">
        <v>0</v>
      </c>
      <c r="X202" s="172">
        <f t="shared" si="35"/>
        <v>102387.12000000001</v>
      </c>
      <c r="Y202" s="173">
        <v>0</v>
      </c>
      <c r="Z202" s="172">
        <f t="shared" si="36"/>
        <v>102387.12000000001</v>
      </c>
    </row>
    <row r="203" spans="1:26" ht="12.75" hidden="1" outlineLevel="1">
      <c r="A203" s="172" t="s">
        <v>2446</v>
      </c>
      <c r="C203" s="173" t="s">
        <v>2447</v>
      </c>
      <c r="D203" s="173" t="s">
        <v>2448</v>
      </c>
      <c r="E203" s="172">
        <v>0</v>
      </c>
      <c r="F203" s="172">
        <v>129805.04</v>
      </c>
      <c r="G203" s="221">
        <f t="shared" si="30"/>
        <v>129805.04</v>
      </c>
      <c r="H203" s="222">
        <v>67719.77</v>
      </c>
      <c r="I203" s="222">
        <v>0</v>
      </c>
      <c r="J203" s="222">
        <v>0</v>
      </c>
      <c r="K203" s="222">
        <v>0</v>
      </c>
      <c r="L203" s="222">
        <f t="shared" si="31"/>
        <v>0</v>
      </c>
      <c r="M203" s="222">
        <v>0</v>
      </c>
      <c r="N203" s="222">
        <v>0</v>
      </c>
      <c r="O203" s="222">
        <v>0</v>
      </c>
      <c r="P203" s="222">
        <f t="shared" si="32"/>
        <v>0</v>
      </c>
      <c r="Q203" s="221">
        <v>0</v>
      </c>
      <c r="R203" s="221">
        <v>0</v>
      </c>
      <c r="S203" s="221">
        <v>0</v>
      </c>
      <c r="T203" s="221">
        <v>0</v>
      </c>
      <c r="U203" s="221">
        <f t="shared" si="33"/>
        <v>0</v>
      </c>
      <c r="V203" s="221">
        <f t="shared" si="34"/>
        <v>197524.81</v>
      </c>
      <c r="W203" s="172">
        <v>0</v>
      </c>
      <c r="X203" s="172">
        <f t="shared" si="35"/>
        <v>197524.81</v>
      </c>
      <c r="Y203" s="173">
        <v>0</v>
      </c>
      <c r="Z203" s="172">
        <f t="shared" si="36"/>
        <v>197524.81</v>
      </c>
    </row>
    <row r="204" spans="1:26" ht="12.75" hidden="1" outlineLevel="1">
      <c r="A204" s="172" t="s">
        <v>2449</v>
      </c>
      <c r="C204" s="173" t="s">
        <v>2450</v>
      </c>
      <c r="D204" s="173" t="s">
        <v>2451</v>
      </c>
      <c r="E204" s="172">
        <v>0</v>
      </c>
      <c r="F204" s="172">
        <v>0</v>
      </c>
      <c r="G204" s="221">
        <f t="shared" si="30"/>
        <v>0</v>
      </c>
      <c r="H204" s="222">
        <v>5016</v>
      </c>
      <c r="I204" s="222">
        <v>0</v>
      </c>
      <c r="J204" s="222">
        <v>0</v>
      </c>
      <c r="K204" s="222">
        <v>0</v>
      </c>
      <c r="L204" s="222">
        <f t="shared" si="31"/>
        <v>0</v>
      </c>
      <c r="M204" s="222">
        <v>0</v>
      </c>
      <c r="N204" s="222">
        <v>0</v>
      </c>
      <c r="O204" s="222">
        <v>0</v>
      </c>
      <c r="P204" s="222">
        <f t="shared" si="32"/>
        <v>0</v>
      </c>
      <c r="Q204" s="221">
        <v>0</v>
      </c>
      <c r="R204" s="221">
        <v>0</v>
      </c>
      <c r="S204" s="221">
        <v>0</v>
      </c>
      <c r="T204" s="221">
        <v>0</v>
      </c>
      <c r="U204" s="221">
        <f t="shared" si="33"/>
        <v>0</v>
      </c>
      <c r="V204" s="221">
        <f t="shared" si="34"/>
        <v>5016</v>
      </c>
      <c r="W204" s="172">
        <v>0</v>
      </c>
      <c r="X204" s="172">
        <f t="shared" si="35"/>
        <v>5016</v>
      </c>
      <c r="Y204" s="173">
        <v>0</v>
      </c>
      <c r="Z204" s="172">
        <f t="shared" si="36"/>
        <v>5016</v>
      </c>
    </row>
    <row r="205" spans="1:26" ht="12.75" hidden="1" outlineLevel="1">
      <c r="A205" s="172" t="s">
        <v>2452</v>
      </c>
      <c r="C205" s="173" t="s">
        <v>2453</v>
      </c>
      <c r="D205" s="173" t="s">
        <v>2454</v>
      </c>
      <c r="E205" s="172">
        <v>0</v>
      </c>
      <c r="F205" s="172">
        <v>42837.25</v>
      </c>
      <c r="G205" s="221">
        <f t="shared" si="30"/>
        <v>42837.25</v>
      </c>
      <c r="H205" s="222">
        <v>2886.54</v>
      </c>
      <c r="I205" s="222">
        <v>0</v>
      </c>
      <c r="J205" s="222">
        <v>0</v>
      </c>
      <c r="K205" s="222">
        <v>0</v>
      </c>
      <c r="L205" s="222">
        <f t="shared" si="31"/>
        <v>0</v>
      </c>
      <c r="M205" s="222">
        <v>0</v>
      </c>
      <c r="N205" s="222">
        <v>0</v>
      </c>
      <c r="O205" s="222">
        <v>0</v>
      </c>
      <c r="P205" s="222">
        <f t="shared" si="32"/>
        <v>0</v>
      </c>
      <c r="Q205" s="221">
        <v>0</v>
      </c>
      <c r="R205" s="221">
        <v>0</v>
      </c>
      <c r="S205" s="221">
        <v>0</v>
      </c>
      <c r="T205" s="221">
        <v>0</v>
      </c>
      <c r="U205" s="221">
        <f t="shared" si="33"/>
        <v>0</v>
      </c>
      <c r="V205" s="221">
        <f t="shared" si="34"/>
        <v>45723.79</v>
      </c>
      <c r="W205" s="172">
        <v>0</v>
      </c>
      <c r="X205" s="172">
        <f t="shared" si="35"/>
        <v>45723.79</v>
      </c>
      <c r="Y205" s="173">
        <v>0</v>
      </c>
      <c r="Z205" s="172">
        <f t="shared" si="36"/>
        <v>45723.79</v>
      </c>
    </row>
    <row r="206" spans="1:26" ht="12.75" hidden="1" outlineLevel="1">
      <c r="A206" s="172" t="s">
        <v>2455</v>
      </c>
      <c r="C206" s="173" t="s">
        <v>2456</v>
      </c>
      <c r="D206" s="173" t="s">
        <v>2457</v>
      </c>
      <c r="E206" s="172">
        <v>0</v>
      </c>
      <c r="F206" s="172">
        <v>363985.48</v>
      </c>
      <c r="G206" s="221">
        <f t="shared" si="30"/>
        <v>363985.48</v>
      </c>
      <c r="H206" s="222">
        <v>74548.38</v>
      </c>
      <c r="I206" s="222">
        <v>0</v>
      </c>
      <c r="J206" s="222">
        <v>0</v>
      </c>
      <c r="K206" s="222">
        <v>0</v>
      </c>
      <c r="L206" s="222">
        <f t="shared" si="31"/>
        <v>0</v>
      </c>
      <c r="M206" s="222">
        <v>0</v>
      </c>
      <c r="N206" s="222">
        <v>0</v>
      </c>
      <c r="O206" s="222">
        <v>0</v>
      </c>
      <c r="P206" s="222">
        <f t="shared" si="32"/>
        <v>0</v>
      </c>
      <c r="Q206" s="221">
        <v>11.13</v>
      </c>
      <c r="R206" s="221">
        <v>0</v>
      </c>
      <c r="S206" s="221">
        <v>0</v>
      </c>
      <c r="T206" s="221">
        <v>0</v>
      </c>
      <c r="U206" s="221">
        <f t="shared" si="33"/>
        <v>11.13</v>
      </c>
      <c r="V206" s="221">
        <f t="shared" si="34"/>
        <v>438544.99</v>
      </c>
      <c r="W206" s="172">
        <v>0</v>
      </c>
      <c r="X206" s="172">
        <f t="shared" si="35"/>
        <v>438544.99</v>
      </c>
      <c r="Y206" s="173">
        <v>0</v>
      </c>
      <c r="Z206" s="172">
        <f t="shared" si="36"/>
        <v>438544.99</v>
      </c>
    </row>
    <row r="207" spans="1:26" ht="12.75" hidden="1" outlineLevel="1">
      <c r="A207" s="172" t="s">
        <v>2458</v>
      </c>
      <c r="C207" s="173" t="s">
        <v>2459</v>
      </c>
      <c r="D207" s="173" t="s">
        <v>2460</v>
      </c>
      <c r="E207" s="172">
        <v>0</v>
      </c>
      <c r="F207" s="172">
        <v>90710.92</v>
      </c>
      <c r="G207" s="221">
        <f t="shared" si="30"/>
        <v>90710.92</v>
      </c>
      <c r="H207" s="222">
        <v>0</v>
      </c>
      <c r="I207" s="222">
        <v>0</v>
      </c>
      <c r="J207" s="222">
        <v>0</v>
      </c>
      <c r="K207" s="222">
        <v>0</v>
      </c>
      <c r="L207" s="222">
        <f t="shared" si="31"/>
        <v>0</v>
      </c>
      <c r="M207" s="222">
        <v>0</v>
      </c>
      <c r="N207" s="222">
        <v>0</v>
      </c>
      <c r="O207" s="222">
        <v>0</v>
      </c>
      <c r="P207" s="222">
        <f t="shared" si="32"/>
        <v>0</v>
      </c>
      <c r="Q207" s="221">
        <v>0</v>
      </c>
      <c r="R207" s="221">
        <v>0</v>
      </c>
      <c r="S207" s="221">
        <v>0</v>
      </c>
      <c r="T207" s="221">
        <v>0</v>
      </c>
      <c r="U207" s="221">
        <f t="shared" si="33"/>
        <v>0</v>
      </c>
      <c r="V207" s="221">
        <f t="shared" si="34"/>
        <v>90710.92</v>
      </c>
      <c r="W207" s="172">
        <v>0</v>
      </c>
      <c r="X207" s="172">
        <f t="shared" si="35"/>
        <v>90710.92</v>
      </c>
      <c r="Y207" s="173">
        <v>0</v>
      </c>
      <c r="Z207" s="172">
        <f t="shared" si="36"/>
        <v>90710.92</v>
      </c>
    </row>
    <row r="208" spans="1:26" ht="12.75" hidden="1" outlineLevel="1">
      <c r="A208" s="172" t="s">
        <v>2461</v>
      </c>
      <c r="C208" s="173" t="s">
        <v>2462</v>
      </c>
      <c r="D208" s="173" t="s">
        <v>2463</v>
      </c>
      <c r="E208" s="172">
        <v>0</v>
      </c>
      <c r="F208" s="172">
        <v>42022.77</v>
      </c>
      <c r="G208" s="221">
        <f t="shared" si="30"/>
        <v>42022.77</v>
      </c>
      <c r="H208" s="222">
        <v>0</v>
      </c>
      <c r="I208" s="222">
        <v>0</v>
      </c>
      <c r="J208" s="222">
        <v>0</v>
      </c>
      <c r="K208" s="222">
        <v>0</v>
      </c>
      <c r="L208" s="222">
        <f t="shared" si="31"/>
        <v>0</v>
      </c>
      <c r="M208" s="222">
        <v>0</v>
      </c>
      <c r="N208" s="222">
        <v>0</v>
      </c>
      <c r="O208" s="222">
        <v>0</v>
      </c>
      <c r="P208" s="222">
        <f t="shared" si="32"/>
        <v>0</v>
      </c>
      <c r="Q208" s="221">
        <v>0</v>
      </c>
      <c r="R208" s="221">
        <v>0</v>
      </c>
      <c r="S208" s="221">
        <v>0</v>
      </c>
      <c r="T208" s="221">
        <v>0</v>
      </c>
      <c r="U208" s="221">
        <f t="shared" si="33"/>
        <v>0</v>
      </c>
      <c r="V208" s="221">
        <f t="shared" si="34"/>
        <v>42022.77</v>
      </c>
      <c r="W208" s="172">
        <v>0</v>
      </c>
      <c r="X208" s="172">
        <f t="shared" si="35"/>
        <v>42022.77</v>
      </c>
      <c r="Y208" s="173">
        <v>0</v>
      </c>
      <c r="Z208" s="172">
        <f t="shared" si="36"/>
        <v>42022.77</v>
      </c>
    </row>
    <row r="209" spans="1:26" ht="12.75" hidden="1" outlineLevel="1">
      <c r="A209" s="172" t="s">
        <v>2464</v>
      </c>
      <c r="C209" s="173" t="s">
        <v>2465</v>
      </c>
      <c r="D209" s="173" t="s">
        <v>2466</v>
      </c>
      <c r="E209" s="172">
        <v>0</v>
      </c>
      <c r="F209" s="172">
        <v>223941.65</v>
      </c>
      <c r="G209" s="221">
        <f t="shared" si="30"/>
        <v>223941.65</v>
      </c>
      <c r="H209" s="222">
        <v>2057.42</v>
      </c>
      <c r="I209" s="222">
        <v>0</v>
      </c>
      <c r="J209" s="222">
        <v>0</v>
      </c>
      <c r="K209" s="222">
        <v>0</v>
      </c>
      <c r="L209" s="222">
        <f t="shared" si="31"/>
        <v>0</v>
      </c>
      <c r="M209" s="222">
        <v>0</v>
      </c>
      <c r="N209" s="222">
        <v>0</v>
      </c>
      <c r="O209" s="222">
        <v>0</v>
      </c>
      <c r="P209" s="222">
        <f t="shared" si="32"/>
        <v>0</v>
      </c>
      <c r="Q209" s="221">
        <v>206333.55</v>
      </c>
      <c r="R209" s="221">
        <v>0</v>
      </c>
      <c r="S209" s="221">
        <v>0</v>
      </c>
      <c r="T209" s="221">
        <v>0</v>
      </c>
      <c r="U209" s="221">
        <f t="shared" si="33"/>
        <v>206333.55</v>
      </c>
      <c r="V209" s="221">
        <f t="shared" si="34"/>
        <v>432332.62</v>
      </c>
      <c r="W209" s="172">
        <v>0</v>
      </c>
      <c r="X209" s="172">
        <f t="shared" si="35"/>
        <v>432332.62</v>
      </c>
      <c r="Y209" s="173">
        <v>0</v>
      </c>
      <c r="Z209" s="172">
        <f t="shared" si="36"/>
        <v>432332.62</v>
      </c>
    </row>
    <row r="210" spans="1:26" ht="12.75" hidden="1" outlineLevel="1">
      <c r="A210" s="172" t="s">
        <v>2467</v>
      </c>
      <c r="C210" s="173" t="s">
        <v>2468</v>
      </c>
      <c r="D210" s="173" t="s">
        <v>2469</v>
      </c>
      <c r="E210" s="172">
        <v>0</v>
      </c>
      <c r="F210" s="172">
        <v>32014.28</v>
      </c>
      <c r="G210" s="221">
        <f t="shared" si="30"/>
        <v>32014.28</v>
      </c>
      <c r="H210" s="222">
        <v>3498.65</v>
      </c>
      <c r="I210" s="222">
        <v>0</v>
      </c>
      <c r="J210" s="222">
        <v>0</v>
      </c>
      <c r="K210" s="222">
        <v>0</v>
      </c>
      <c r="L210" s="222">
        <f t="shared" si="31"/>
        <v>0</v>
      </c>
      <c r="M210" s="222">
        <v>0</v>
      </c>
      <c r="N210" s="222">
        <v>0</v>
      </c>
      <c r="O210" s="222">
        <v>0</v>
      </c>
      <c r="P210" s="222">
        <f t="shared" si="32"/>
        <v>0</v>
      </c>
      <c r="Q210" s="221">
        <v>0</v>
      </c>
      <c r="R210" s="221">
        <v>0</v>
      </c>
      <c r="S210" s="221">
        <v>0</v>
      </c>
      <c r="T210" s="221">
        <v>0</v>
      </c>
      <c r="U210" s="221">
        <f t="shared" si="33"/>
        <v>0</v>
      </c>
      <c r="V210" s="221">
        <f t="shared" si="34"/>
        <v>35512.93</v>
      </c>
      <c r="W210" s="172">
        <v>0</v>
      </c>
      <c r="X210" s="172">
        <f t="shared" si="35"/>
        <v>35512.93</v>
      </c>
      <c r="Y210" s="173">
        <v>0</v>
      </c>
      <c r="Z210" s="172">
        <f t="shared" si="36"/>
        <v>35512.93</v>
      </c>
    </row>
    <row r="211" spans="1:26" ht="12.75" hidden="1" outlineLevel="1">
      <c r="A211" s="172" t="s">
        <v>2470</v>
      </c>
      <c r="C211" s="173" t="s">
        <v>2471</v>
      </c>
      <c r="D211" s="173" t="s">
        <v>2472</v>
      </c>
      <c r="E211" s="172">
        <v>0</v>
      </c>
      <c r="F211" s="172">
        <v>1337.5</v>
      </c>
      <c r="G211" s="221">
        <f t="shared" si="30"/>
        <v>1337.5</v>
      </c>
      <c r="H211" s="222">
        <v>0</v>
      </c>
      <c r="I211" s="222">
        <v>0</v>
      </c>
      <c r="J211" s="222">
        <v>0</v>
      </c>
      <c r="K211" s="222">
        <v>0</v>
      </c>
      <c r="L211" s="222">
        <f t="shared" si="31"/>
        <v>0</v>
      </c>
      <c r="M211" s="222">
        <v>0</v>
      </c>
      <c r="N211" s="222">
        <v>0</v>
      </c>
      <c r="O211" s="222">
        <v>0</v>
      </c>
      <c r="P211" s="222">
        <f t="shared" si="32"/>
        <v>0</v>
      </c>
      <c r="Q211" s="221">
        <v>0</v>
      </c>
      <c r="R211" s="221">
        <v>0</v>
      </c>
      <c r="S211" s="221">
        <v>0</v>
      </c>
      <c r="T211" s="221">
        <v>0</v>
      </c>
      <c r="U211" s="221">
        <f t="shared" si="33"/>
        <v>0</v>
      </c>
      <c r="V211" s="221">
        <f t="shared" si="34"/>
        <v>1337.5</v>
      </c>
      <c r="W211" s="172">
        <v>0</v>
      </c>
      <c r="X211" s="172">
        <f t="shared" si="35"/>
        <v>1337.5</v>
      </c>
      <c r="Y211" s="173">
        <v>0</v>
      </c>
      <c r="Z211" s="172">
        <f t="shared" si="36"/>
        <v>1337.5</v>
      </c>
    </row>
    <row r="212" spans="1:26" ht="12.75" hidden="1" outlineLevel="1">
      <c r="A212" s="172" t="s">
        <v>2473</v>
      </c>
      <c r="C212" s="173" t="s">
        <v>2474</v>
      </c>
      <c r="D212" s="173" t="s">
        <v>2475</v>
      </c>
      <c r="E212" s="172">
        <v>0</v>
      </c>
      <c r="F212" s="172">
        <v>368259.14</v>
      </c>
      <c r="G212" s="221">
        <f t="shared" si="30"/>
        <v>368259.14</v>
      </c>
      <c r="H212" s="222">
        <v>5180</v>
      </c>
      <c r="I212" s="222">
        <v>0</v>
      </c>
      <c r="J212" s="222">
        <v>0</v>
      </c>
      <c r="K212" s="222">
        <v>0</v>
      </c>
      <c r="L212" s="222">
        <f t="shared" si="31"/>
        <v>0</v>
      </c>
      <c r="M212" s="222">
        <v>0</v>
      </c>
      <c r="N212" s="222">
        <v>0</v>
      </c>
      <c r="O212" s="222">
        <v>0</v>
      </c>
      <c r="P212" s="222">
        <f t="shared" si="32"/>
        <v>0</v>
      </c>
      <c r="Q212" s="221">
        <v>0</v>
      </c>
      <c r="R212" s="221">
        <v>0</v>
      </c>
      <c r="S212" s="221">
        <v>0</v>
      </c>
      <c r="T212" s="221">
        <v>0</v>
      </c>
      <c r="U212" s="221">
        <f t="shared" si="33"/>
        <v>0</v>
      </c>
      <c r="V212" s="221">
        <f t="shared" si="34"/>
        <v>373439.14</v>
      </c>
      <c r="W212" s="172">
        <v>0</v>
      </c>
      <c r="X212" s="172">
        <f t="shared" si="35"/>
        <v>373439.14</v>
      </c>
      <c r="Y212" s="173">
        <v>0</v>
      </c>
      <c r="Z212" s="172">
        <f t="shared" si="36"/>
        <v>373439.14</v>
      </c>
    </row>
    <row r="213" spans="1:26" ht="12.75" hidden="1" outlineLevel="1">
      <c r="A213" s="172" t="s">
        <v>2476</v>
      </c>
      <c r="C213" s="173" t="s">
        <v>2477</v>
      </c>
      <c r="D213" s="173" t="s">
        <v>2478</v>
      </c>
      <c r="E213" s="172">
        <v>0</v>
      </c>
      <c r="F213" s="172">
        <v>33927.23</v>
      </c>
      <c r="G213" s="221">
        <f t="shared" si="30"/>
        <v>33927.23</v>
      </c>
      <c r="H213" s="222">
        <v>0</v>
      </c>
      <c r="I213" s="222">
        <v>0</v>
      </c>
      <c r="J213" s="222">
        <v>0</v>
      </c>
      <c r="K213" s="222">
        <v>0</v>
      </c>
      <c r="L213" s="222">
        <f t="shared" si="31"/>
        <v>0</v>
      </c>
      <c r="M213" s="222">
        <v>0</v>
      </c>
      <c r="N213" s="222">
        <v>0</v>
      </c>
      <c r="O213" s="222">
        <v>0</v>
      </c>
      <c r="P213" s="222">
        <f t="shared" si="32"/>
        <v>0</v>
      </c>
      <c r="Q213" s="221">
        <v>0</v>
      </c>
      <c r="R213" s="221">
        <v>0</v>
      </c>
      <c r="S213" s="221">
        <v>0</v>
      </c>
      <c r="T213" s="221">
        <v>0</v>
      </c>
      <c r="U213" s="221">
        <f t="shared" si="33"/>
        <v>0</v>
      </c>
      <c r="V213" s="221">
        <f t="shared" si="34"/>
        <v>33927.23</v>
      </c>
      <c r="W213" s="172">
        <v>0</v>
      </c>
      <c r="X213" s="172">
        <f t="shared" si="35"/>
        <v>33927.23</v>
      </c>
      <c r="Y213" s="173">
        <v>0</v>
      </c>
      <c r="Z213" s="172">
        <f t="shared" si="36"/>
        <v>33927.23</v>
      </c>
    </row>
    <row r="214" spans="1:26" ht="12.75" hidden="1" outlineLevel="1">
      <c r="A214" s="172" t="s">
        <v>2479</v>
      </c>
      <c r="C214" s="173" t="s">
        <v>2480</v>
      </c>
      <c r="D214" s="173" t="s">
        <v>2481</v>
      </c>
      <c r="E214" s="172">
        <v>0</v>
      </c>
      <c r="F214" s="172">
        <v>874.55</v>
      </c>
      <c r="G214" s="221">
        <f t="shared" si="30"/>
        <v>874.55</v>
      </c>
      <c r="H214" s="222">
        <v>0</v>
      </c>
      <c r="I214" s="222">
        <v>0</v>
      </c>
      <c r="J214" s="222">
        <v>0</v>
      </c>
      <c r="K214" s="222">
        <v>0</v>
      </c>
      <c r="L214" s="222">
        <f t="shared" si="31"/>
        <v>0</v>
      </c>
      <c r="M214" s="222">
        <v>0</v>
      </c>
      <c r="N214" s="222">
        <v>0</v>
      </c>
      <c r="O214" s="222">
        <v>0</v>
      </c>
      <c r="P214" s="222">
        <f t="shared" si="32"/>
        <v>0</v>
      </c>
      <c r="Q214" s="221">
        <v>0</v>
      </c>
      <c r="R214" s="221">
        <v>0</v>
      </c>
      <c r="S214" s="221">
        <v>0</v>
      </c>
      <c r="T214" s="221">
        <v>0</v>
      </c>
      <c r="U214" s="221">
        <f t="shared" si="33"/>
        <v>0</v>
      </c>
      <c r="V214" s="221">
        <f t="shared" si="34"/>
        <v>874.55</v>
      </c>
      <c r="W214" s="172">
        <v>0</v>
      </c>
      <c r="X214" s="172">
        <f t="shared" si="35"/>
        <v>874.55</v>
      </c>
      <c r="Y214" s="173">
        <v>0</v>
      </c>
      <c r="Z214" s="172">
        <f t="shared" si="36"/>
        <v>874.55</v>
      </c>
    </row>
    <row r="215" spans="1:26" ht="12.75" hidden="1" outlineLevel="1">
      <c r="A215" s="172" t="s">
        <v>2482</v>
      </c>
      <c r="C215" s="173" t="s">
        <v>2483</v>
      </c>
      <c r="D215" s="173" t="s">
        <v>2484</v>
      </c>
      <c r="E215" s="172">
        <v>0</v>
      </c>
      <c r="F215" s="172">
        <v>5774539.9</v>
      </c>
      <c r="G215" s="221">
        <f t="shared" si="30"/>
        <v>5774539.9</v>
      </c>
      <c r="H215" s="222">
        <v>200532.25</v>
      </c>
      <c r="I215" s="222">
        <v>0</v>
      </c>
      <c r="J215" s="222">
        <v>0</v>
      </c>
      <c r="K215" s="222">
        <v>0</v>
      </c>
      <c r="L215" s="222">
        <f t="shared" si="31"/>
        <v>0</v>
      </c>
      <c r="M215" s="222">
        <v>0</v>
      </c>
      <c r="N215" s="222">
        <v>0</v>
      </c>
      <c r="O215" s="222">
        <v>0</v>
      </c>
      <c r="P215" s="222">
        <f t="shared" si="32"/>
        <v>0</v>
      </c>
      <c r="Q215" s="221">
        <v>28200.93</v>
      </c>
      <c r="R215" s="221">
        <v>-28200.93</v>
      </c>
      <c r="S215" s="221">
        <v>0</v>
      </c>
      <c r="T215" s="221">
        <v>0</v>
      </c>
      <c r="U215" s="221">
        <f t="shared" si="33"/>
        <v>0</v>
      </c>
      <c r="V215" s="221">
        <f t="shared" si="34"/>
        <v>5975072.15</v>
      </c>
      <c r="W215" s="172">
        <v>0</v>
      </c>
      <c r="X215" s="172">
        <f t="shared" si="35"/>
        <v>5975072.15</v>
      </c>
      <c r="Y215" s="173">
        <v>51706508.04</v>
      </c>
      <c r="Z215" s="172">
        <f t="shared" si="36"/>
        <v>57681580.19</v>
      </c>
    </row>
    <row r="216" spans="1:26" ht="12.75" hidden="1" outlineLevel="1">
      <c r="A216" s="172" t="s">
        <v>2485</v>
      </c>
      <c r="C216" s="173" t="s">
        <v>2486</v>
      </c>
      <c r="D216" s="173" t="s">
        <v>2487</v>
      </c>
      <c r="E216" s="172">
        <v>0</v>
      </c>
      <c r="F216" s="172">
        <v>138</v>
      </c>
      <c r="G216" s="221">
        <f t="shared" si="30"/>
        <v>138</v>
      </c>
      <c r="H216" s="222">
        <v>0</v>
      </c>
      <c r="I216" s="222">
        <v>0</v>
      </c>
      <c r="J216" s="222">
        <v>0</v>
      </c>
      <c r="K216" s="222">
        <v>0</v>
      </c>
      <c r="L216" s="222">
        <f t="shared" si="31"/>
        <v>0</v>
      </c>
      <c r="M216" s="222">
        <v>0</v>
      </c>
      <c r="N216" s="222">
        <v>0</v>
      </c>
      <c r="O216" s="222">
        <v>0</v>
      </c>
      <c r="P216" s="222">
        <f t="shared" si="32"/>
        <v>0</v>
      </c>
      <c r="Q216" s="221">
        <v>0</v>
      </c>
      <c r="R216" s="221">
        <v>0</v>
      </c>
      <c r="S216" s="221">
        <v>0</v>
      </c>
      <c r="T216" s="221">
        <v>0</v>
      </c>
      <c r="U216" s="221">
        <f t="shared" si="33"/>
        <v>0</v>
      </c>
      <c r="V216" s="221">
        <f t="shared" si="34"/>
        <v>138</v>
      </c>
      <c r="W216" s="172">
        <v>0</v>
      </c>
      <c r="X216" s="172">
        <f t="shared" si="35"/>
        <v>138</v>
      </c>
      <c r="Y216" s="173">
        <v>0</v>
      </c>
      <c r="Z216" s="172">
        <f t="shared" si="36"/>
        <v>138</v>
      </c>
    </row>
    <row r="217" spans="1:26" ht="12.75" hidden="1" outlineLevel="1">
      <c r="A217" s="172" t="s">
        <v>2488</v>
      </c>
      <c r="C217" s="173" t="s">
        <v>2489</v>
      </c>
      <c r="D217" s="173" t="s">
        <v>2490</v>
      </c>
      <c r="E217" s="172">
        <v>0</v>
      </c>
      <c r="F217" s="172">
        <v>-50</v>
      </c>
      <c r="G217" s="221">
        <f t="shared" si="30"/>
        <v>-50</v>
      </c>
      <c r="H217" s="222">
        <v>0</v>
      </c>
      <c r="I217" s="222">
        <v>0</v>
      </c>
      <c r="J217" s="222">
        <v>0</v>
      </c>
      <c r="K217" s="222">
        <v>0</v>
      </c>
      <c r="L217" s="222">
        <f t="shared" si="31"/>
        <v>0</v>
      </c>
      <c r="M217" s="222">
        <v>0</v>
      </c>
      <c r="N217" s="222">
        <v>0</v>
      </c>
      <c r="O217" s="222">
        <v>0</v>
      </c>
      <c r="P217" s="222">
        <f t="shared" si="32"/>
        <v>0</v>
      </c>
      <c r="Q217" s="221">
        <v>0</v>
      </c>
      <c r="R217" s="221">
        <v>0</v>
      </c>
      <c r="S217" s="221">
        <v>0</v>
      </c>
      <c r="T217" s="221">
        <v>0</v>
      </c>
      <c r="U217" s="221">
        <f t="shared" si="33"/>
        <v>0</v>
      </c>
      <c r="V217" s="221">
        <f t="shared" si="34"/>
        <v>-50</v>
      </c>
      <c r="W217" s="172">
        <v>0</v>
      </c>
      <c r="X217" s="172">
        <f t="shared" si="35"/>
        <v>-50</v>
      </c>
      <c r="Y217" s="173">
        <v>0</v>
      </c>
      <c r="Z217" s="172">
        <f t="shared" si="36"/>
        <v>-50</v>
      </c>
    </row>
    <row r="218" spans="1:26" ht="12.75" hidden="1" outlineLevel="1">
      <c r="A218" s="172" t="s">
        <v>2491</v>
      </c>
      <c r="C218" s="173" t="s">
        <v>2492</v>
      </c>
      <c r="D218" s="173" t="s">
        <v>2493</v>
      </c>
      <c r="E218" s="172">
        <v>0</v>
      </c>
      <c r="F218" s="172">
        <v>43315</v>
      </c>
      <c r="G218" s="221">
        <f t="shared" si="30"/>
        <v>43315</v>
      </c>
      <c r="H218" s="222">
        <v>200</v>
      </c>
      <c r="I218" s="222">
        <v>0</v>
      </c>
      <c r="J218" s="222">
        <v>0</v>
      </c>
      <c r="K218" s="222">
        <v>0</v>
      </c>
      <c r="L218" s="222">
        <f t="shared" si="31"/>
        <v>0</v>
      </c>
      <c r="M218" s="222">
        <v>0</v>
      </c>
      <c r="N218" s="222">
        <v>0</v>
      </c>
      <c r="O218" s="222">
        <v>0</v>
      </c>
      <c r="P218" s="222">
        <f t="shared" si="32"/>
        <v>0</v>
      </c>
      <c r="Q218" s="221">
        <v>0</v>
      </c>
      <c r="R218" s="221">
        <v>0</v>
      </c>
      <c r="S218" s="221">
        <v>0</v>
      </c>
      <c r="T218" s="221">
        <v>0</v>
      </c>
      <c r="U218" s="221">
        <f t="shared" si="33"/>
        <v>0</v>
      </c>
      <c r="V218" s="221">
        <f t="shared" si="34"/>
        <v>43515</v>
      </c>
      <c r="W218" s="172">
        <v>0</v>
      </c>
      <c r="X218" s="172">
        <f t="shared" si="35"/>
        <v>43515</v>
      </c>
      <c r="Y218" s="173">
        <v>0</v>
      </c>
      <c r="Z218" s="172">
        <f t="shared" si="36"/>
        <v>43515</v>
      </c>
    </row>
    <row r="219" spans="1:26" ht="12.75" hidden="1" outlineLevel="1">
      <c r="A219" s="172" t="s">
        <v>2494</v>
      </c>
      <c r="C219" s="173" t="s">
        <v>2495</v>
      </c>
      <c r="D219" s="173" t="s">
        <v>2496</v>
      </c>
      <c r="E219" s="172">
        <v>0</v>
      </c>
      <c r="F219" s="172">
        <v>0</v>
      </c>
      <c r="G219" s="221">
        <f t="shared" si="30"/>
        <v>0</v>
      </c>
      <c r="H219" s="222">
        <v>6000</v>
      </c>
      <c r="I219" s="222">
        <v>0</v>
      </c>
      <c r="J219" s="222">
        <v>0</v>
      </c>
      <c r="K219" s="222">
        <v>0</v>
      </c>
      <c r="L219" s="222">
        <f t="shared" si="31"/>
        <v>0</v>
      </c>
      <c r="M219" s="222">
        <v>0</v>
      </c>
      <c r="N219" s="222">
        <v>0</v>
      </c>
      <c r="O219" s="222">
        <v>0</v>
      </c>
      <c r="P219" s="222">
        <f t="shared" si="32"/>
        <v>0</v>
      </c>
      <c r="Q219" s="221">
        <v>0</v>
      </c>
      <c r="R219" s="221">
        <v>0</v>
      </c>
      <c r="S219" s="221">
        <v>0</v>
      </c>
      <c r="T219" s="221">
        <v>0</v>
      </c>
      <c r="U219" s="221">
        <f t="shared" si="33"/>
        <v>0</v>
      </c>
      <c r="V219" s="221">
        <f t="shared" si="34"/>
        <v>6000</v>
      </c>
      <c r="W219" s="172">
        <v>0</v>
      </c>
      <c r="X219" s="172">
        <f t="shared" si="35"/>
        <v>6000</v>
      </c>
      <c r="Y219" s="173">
        <v>0</v>
      </c>
      <c r="Z219" s="172">
        <f t="shared" si="36"/>
        <v>6000</v>
      </c>
    </row>
    <row r="220" spans="1:26" ht="12.75" hidden="1" outlineLevel="1">
      <c r="A220" s="172" t="s">
        <v>2497</v>
      </c>
      <c r="C220" s="173" t="s">
        <v>2498</v>
      </c>
      <c r="D220" s="173" t="s">
        <v>2499</v>
      </c>
      <c r="E220" s="172">
        <v>0</v>
      </c>
      <c r="F220" s="172">
        <v>-78867.51</v>
      </c>
      <c r="G220" s="221">
        <f t="shared" si="30"/>
        <v>-78867.51</v>
      </c>
      <c r="H220" s="222">
        <v>0</v>
      </c>
      <c r="I220" s="222">
        <v>0</v>
      </c>
      <c r="J220" s="222">
        <v>0</v>
      </c>
      <c r="K220" s="222">
        <v>0</v>
      </c>
      <c r="L220" s="222">
        <f t="shared" si="31"/>
        <v>0</v>
      </c>
      <c r="M220" s="222">
        <v>0</v>
      </c>
      <c r="N220" s="222">
        <v>0</v>
      </c>
      <c r="O220" s="222">
        <v>0</v>
      </c>
      <c r="P220" s="222">
        <f t="shared" si="32"/>
        <v>0</v>
      </c>
      <c r="Q220" s="221">
        <v>0</v>
      </c>
      <c r="R220" s="221">
        <v>0</v>
      </c>
      <c r="S220" s="221">
        <v>0</v>
      </c>
      <c r="T220" s="221">
        <v>0</v>
      </c>
      <c r="U220" s="221">
        <f t="shared" si="33"/>
        <v>0</v>
      </c>
      <c r="V220" s="221">
        <f t="shared" si="34"/>
        <v>-78867.51</v>
      </c>
      <c r="W220" s="172">
        <v>0</v>
      </c>
      <c r="X220" s="172">
        <f t="shared" si="35"/>
        <v>-78867.51</v>
      </c>
      <c r="Y220" s="173">
        <v>0</v>
      </c>
      <c r="Z220" s="172">
        <f t="shared" si="36"/>
        <v>-78867.51</v>
      </c>
    </row>
    <row r="221" spans="1:26" ht="12.75" hidden="1" outlineLevel="1">
      <c r="A221" s="172" t="s">
        <v>2500</v>
      </c>
      <c r="C221" s="173" t="s">
        <v>2501</v>
      </c>
      <c r="D221" s="173" t="s">
        <v>2502</v>
      </c>
      <c r="E221" s="172">
        <v>0</v>
      </c>
      <c r="F221" s="172">
        <v>1982466.08</v>
      </c>
      <c r="G221" s="221">
        <f t="shared" si="30"/>
        <v>1982466.08</v>
      </c>
      <c r="H221" s="222">
        <v>0</v>
      </c>
      <c r="I221" s="222">
        <v>0</v>
      </c>
      <c r="J221" s="222">
        <v>0</v>
      </c>
      <c r="K221" s="222">
        <v>0</v>
      </c>
      <c r="L221" s="222">
        <f t="shared" si="31"/>
        <v>0</v>
      </c>
      <c r="M221" s="222">
        <v>0</v>
      </c>
      <c r="N221" s="222">
        <v>0</v>
      </c>
      <c r="O221" s="222">
        <v>0</v>
      </c>
      <c r="P221" s="222">
        <f t="shared" si="32"/>
        <v>0</v>
      </c>
      <c r="Q221" s="221">
        <v>0</v>
      </c>
      <c r="R221" s="221">
        <v>0</v>
      </c>
      <c r="S221" s="221">
        <v>0</v>
      </c>
      <c r="T221" s="221">
        <v>0</v>
      </c>
      <c r="U221" s="221">
        <f t="shared" si="33"/>
        <v>0</v>
      </c>
      <c r="V221" s="221">
        <f t="shared" si="34"/>
        <v>1982466.08</v>
      </c>
      <c r="W221" s="172">
        <v>0</v>
      </c>
      <c r="X221" s="172">
        <f t="shared" si="35"/>
        <v>1982466.08</v>
      </c>
      <c r="Y221" s="173">
        <v>569.46</v>
      </c>
      <c r="Z221" s="172">
        <f t="shared" si="36"/>
        <v>1983035.54</v>
      </c>
    </row>
    <row r="222" spans="1:26" ht="12.75" hidden="1" outlineLevel="1">
      <c r="A222" s="172" t="s">
        <v>2503</v>
      </c>
      <c r="C222" s="173" t="s">
        <v>2504</v>
      </c>
      <c r="D222" s="173" t="s">
        <v>2505</v>
      </c>
      <c r="E222" s="172">
        <v>0</v>
      </c>
      <c r="F222" s="172">
        <v>0</v>
      </c>
      <c r="G222" s="221">
        <f t="shared" si="30"/>
        <v>0</v>
      </c>
      <c r="H222" s="222">
        <v>5804.72</v>
      </c>
      <c r="I222" s="222">
        <v>0</v>
      </c>
      <c r="J222" s="222">
        <v>0</v>
      </c>
      <c r="K222" s="222">
        <v>0</v>
      </c>
      <c r="L222" s="222">
        <f t="shared" si="31"/>
        <v>0</v>
      </c>
      <c r="M222" s="222">
        <v>0</v>
      </c>
      <c r="N222" s="222">
        <v>0</v>
      </c>
      <c r="O222" s="222">
        <v>0</v>
      </c>
      <c r="P222" s="222">
        <f t="shared" si="32"/>
        <v>0</v>
      </c>
      <c r="Q222" s="221">
        <v>0</v>
      </c>
      <c r="R222" s="221">
        <v>0</v>
      </c>
      <c r="S222" s="221">
        <v>0</v>
      </c>
      <c r="T222" s="221">
        <v>0</v>
      </c>
      <c r="U222" s="221">
        <f t="shared" si="33"/>
        <v>0</v>
      </c>
      <c r="V222" s="221">
        <f t="shared" si="34"/>
        <v>5804.72</v>
      </c>
      <c r="W222" s="172">
        <v>0</v>
      </c>
      <c r="X222" s="172">
        <f t="shared" si="35"/>
        <v>5804.72</v>
      </c>
      <c r="Y222" s="173">
        <v>0</v>
      </c>
      <c r="Z222" s="172">
        <f t="shared" si="36"/>
        <v>5804.72</v>
      </c>
    </row>
    <row r="223" spans="1:26" ht="12.75" hidden="1" outlineLevel="1">
      <c r="A223" s="172" t="s">
        <v>2506</v>
      </c>
      <c r="C223" s="173" t="s">
        <v>2507</v>
      </c>
      <c r="D223" s="173" t="s">
        <v>2508</v>
      </c>
      <c r="E223" s="172">
        <v>0</v>
      </c>
      <c r="F223" s="172">
        <v>29491.65</v>
      </c>
      <c r="G223" s="221">
        <f t="shared" si="30"/>
        <v>29491.65</v>
      </c>
      <c r="H223" s="222">
        <v>16208.27</v>
      </c>
      <c r="I223" s="222">
        <v>0</v>
      </c>
      <c r="J223" s="222">
        <v>0</v>
      </c>
      <c r="K223" s="222">
        <v>0</v>
      </c>
      <c r="L223" s="222">
        <f t="shared" si="31"/>
        <v>0</v>
      </c>
      <c r="M223" s="222">
        <v>0</v>
      </c>
      <c r="N223" s="222">
        <v>0</v>
      </c>
      <c r="O223" s="222">
        <v>0</v>
      </c>
      <c r="P223" s="222">
        <f t="shared" si="32"/>
        <v>0</v>
      </c>
      <c r="Q223" s="221">
        <v>0</v>
      </c>
      <c r="R223" s="221">
        <v>0</v>
      </c>
      <c r="S223" s="221">
        <v>0</v>
      </c>
      <c r="T223" s="221">
        <v>0</v>
      </c>
      <c r="U223" s="221">
        <f t="shared" si="33"/>
        <v>0</v>
      </c>
      <c r="V223" s="221">
        <f t="shared" si="34"/>
        <v>45699.92</v>
      </c>
      <c r="W223" s="172">
        <v>0</v>
      </c>
      <c r="X223" s="172">
        <f t="shared" si="35"/>
        <v>45699.92</v>
      </c>
      <c r="Y223" s="173">
        <v>0</v>
      </c>
      <c r="Z223" s="172">
        <f t="shared" si="36"/>
        <v>45699.92</v>
      </c>
    </row>
    <row r="224" spans="1:26" ht="12.75" hidden="1" outlineLevel="1">
      <c r="A224" s="172" t="s">
        <v>2509</v>
      </c>
      <c r="C224" s="173" t="s">
        <v>2510</v>
      </c>
      <c r="D224" s="173" t="s">
        <v>2511</v>
      </c>
      <c r="E224" s="172">
        <v>0</v>
      </c>
      <c r="F224" s="172">
        <v>6383.27</v>
      </c>
      <c r="G224" s="221">
        <f t="shared" si="30"/>
        <v>6383.27</v>
      </c>
      <c r="H224" s="222">
        <v>46292.51</v>
      </c>
      <c r="I224" s="222">
        <v>0</v>
      </c>
      <c r="J224" s="222">
        <v>0</v>
      </c>
      <c r="K224" s="222">
        <v>0</v>
      </c>
      <c r="L224" s="222">
        <f t="shared" si="31"/>
        <v>0</v>
      </c>
      <c r="M224" s="222">
        <v>0</v>
      </c>
      <c r="N224" s="222">
        <v>0</v>
      </c>
      <c r="O224" s="222">
        <v>0</v>
      </c>
      <c r="P224" s="222">
        <f t="shared" si="32"/>
        <v>0</v>
      </c>
      <c r="Q224" s="221">
        <v>0</v>
      </c>
      <c r="R224" s="221">
        <v>0</v>
      </c>
      <c r="S224" s="221">
        <v>0</v>
      </c>
      <c r="T224" s="221">
        <v>0</v>
      </c>
      <c r="U224" s="221">
        <f t="shared" si="33"/>
        <v>0</v>
      </c>
      <c r="V224" s="221">
        <f t="shared" si="34"/>
        <v>52675.78</v>
      </c>
      <c r="W224" s="172">
        <v>0</v>
      </c>
      <c r="X224" s="172">
        <f t="shared" si="35"/>
        <v>52675.78</v>
      </c>
      <c r="Y224" s="173">
        <v>0</v>
      </c>
      <c r="Z224" s="172">
        <f t="shared" si="36"/>
        <v>52675.78</v>
      </c>
    </row>
    <row r="225" spans="1:26" ht="12.75" hidden="1" outlineLevel="1">
      <c r="A225" s="172" t="s">
        <v>2512</v>
      </c>
      <c r="C225" s="173" t="s">
        <v>2513</v>
      </c>
      <c r="D225" s="173" t="s">
        <v>2514</v>
      </c>
      <c r="E225" s="172">
        <v>0</v>
      </c>
      <c r="F225" s="172">
        <v>7950.69</v>
      </c>
      <c r="G225" s="221">
        <f t="shared" si="30"/>
        <v>7950.69</v>
      </c>
      <c r="H225" s="222">
        <v>0</v>
      </c>
      <c r="I225" s="222">
        <v>0</v>
      </c>
      <c r="J225" s="222">
        <v>0</v>
      </c>
      <c r="K225" s="222">
        <v>0</v>
      </c>
      <c r="L225" s="222">
        <f t="shared" si="31"/>
        <v>0</v>
      </c>
      <c r="M225" s="222">
        <v>0</v>
      </c>
      <c r="N225" s="222">
        <v>0</v>
      </c>
      <c r="O225" s="222">
        <v>0</v>
      </c>
      <c r="P225" s="222">
        <f t="shared" si="32"/>
        <v>0</v>
      </c>
      <c r="Q225" s="221">
        <v>0</v>
      </c>
      <c r="R225" s="221">
        <v>0</v>
      </c>
      <c r="S225" s="221">
        <v>0</v>
      </c>
      <c r="T225" s="221">
        <v>0</v>
      </c>
      <c r="U225" s="221">
        <f t="shared" si="33"/>
        <v>0</v>
      </c>
      <c r="V225" s="221">
        <f t="shared" si="34"/>
        <v>7950.69</v>
      </c>
      <c r="W225" s="172">
        <v>0</v>
      </c>
      <c r="X225" s="172">
        <f t="shared" si="35"/>
        <v>7950.69</v>
      </c>
      <c r="Y225" s="173">
        <v>0</v>
      </c>
      <c r="Z225" s="172">
        <f t="shared" si="36"/>
        <v>7950.69</v>
      </c>
    </row>
    <row r="226" spans="1:26" ht="12.75" hidden="1" outlineLevel="1">
      <c r="A226" s="172" t="s">
        <v>2515</v>
      </c>
      <c r="C226" s="173" t="s">
        <v>2516</v>
      </c>
      <c r="D226" s="173" t="s">
        <v>2517</v>
      </c>
      <c r="E226" s="172">
        <v>0</v>
      </c>
      <c r="F226" s="172">
        <v>51.24</v>
      </c>
      <c r="G226" s="221">
        <f t="shared" si="30"/>
        <v>51.24</v>
      </c>
      <c r="H226" s="222">
        <v>0</v>
      </c>
      <c r="I226" s="222">
        <v>0</v>
      </c>
      <c r="J226" s="222">
        <v>0</v>
      </c>
      <c r="K226" s="222">
        <v>0</v>
      </c>
      <c r="L226" s="222">
        <f t="shared" si="31"/>
        <v>0</v>
      </c>
      <c r="M226" s="222">
        <v>0</v>
      </c>
      <c r="N226" s="222">
        <v>0</v>
      </c>
      <c r="O226" s="222">
        <v>0</v>
      </c>
      <c r="P226" s="222">
        <f t="shared" si="32"/>
        <v>0</v>
      </c>
      <c r="Q226" s="221">
        <v>0</v>
      </c>
      <c r="R226" s="221">
        <v>0</v>
      </c>
      <c r="S226" s="221">
        <v>0</v>
      </c>
      <c r="T226" s="221">
        <v>0</v>
      </c>
      <c r="U226" s="221">
        <f t="shared" si="33"/>
        <v>0</v>
      </c>
      <c r="V226" s="221">
        <f t="shared" si="34"/>
        <v>51.24</v>
      </c>
      <c r="W226" s="172">
        <v>0</v>
      </c>
      <c r="X226" s="172">
        <f t="shared" si="35"/>
        <v>51.24</v>
      </c>
      <c r="Y226" s="173">
        <v>0</v>
      </c>
      <c r="Z226" s="172">
        <f t="shared" si="36"/>
        <v>51.24</v>
      </c>
    </row>
    <row r="227" spans="1:26" ht="12.75" hidden="1" outlineLevel="1">
      <c r="A227" s="172" t="s">
        <v>2518</v>
      </c>
      <c r="C227" s="173" t="s">
        <v>2519</v>
      </c>
      <c r="D227" s="173" t="s">
        <v>2520</v>
      </c>
      <c r="E227" s="172">
        <v>0</v>
      </c>
      <c r="F227" s="172">
        <v>121296.1</v>
      </c>
      <c r="G227" s="221">
        <f t="shared" si="30"/>
        <v>121296.1</v>
      </c>
      <c r="H227" s="222">
        <v>0</v>
      </c>
      <c r="I227" s="222">
        <v>0</v>
      </c>
      <c r="J227" s="222">
        <v>0</v>
      </c>
      <c r="K227" s="222">
        <v>0</v>
      </c>
      <c r="L227" s="222">
        <f t="shared" si="31"/>
        <v>0</v>
      </c>
      <c r="M227" s="222">
        <v>0</v>
      </c>
      <c r="N227" s="222">
        <v>0</v>
      </c>
      <c r="O227" s="222">
        <v>0</v>
      </c>
      <c r="P227" s="222">
        <f t="shared" si="32"/>
        <v>0</v>
      </c>
      <c r="Q227" s="221">
        <v>0</v>
      </c>
      <c r="R227" s="221">
        <v>0</v>
      </c>
      <c r="S227" s="221">
        <v>0</v>
      </c>
      <c r="T227" s="221">
        <v>0</v>
      </c>
      <c r="U227" s="221">
        <f t="shared" si="33"/>
        <v>0</v>
      </c>
      <c r="V227" s="221">
        <f t="shared" si="34"/>
        <v>121296.1</v>
      </c>
      <c r="W227" s="172">
        <v>0</v>
      </c>
      <c r="X227" s="172">
        <f t="shared" si="35"/>
        <v>121296.1</v>
      </c>
      <c r="Y227" s="173">
        <v>0</v>
      </c>
      <c r="Z227" s="172">
        <f t="shared" si="36"/>
        <v>121296.1</v>
      </c>
    </row>
    <row r="228" spans="1:26" ht="12.75" hidden="1" outlineLevel="1">
      <c r="A228" s="172" t="s">
        <v>2521</v>
      </c>
      <c r="C228" s="173" t="s">
        <v>2522</v>
      </c>
      <c r="D228" s="173" t="s">
        <v>2523</v>
      </c>
      <c r="E228" s="172">
        <v>0</v>
      </c>
      <c r="F228" s="172">
        <v>749504.71</v>
      </c>
      <c r="G228" s="221">
        <f t="shared" si="30"/>
        <v>749504.71</v>
      </c>
      <c r="H228" s="222">
        <v>1279690.03</v>
      </c>
      <c r="I228" s="222">
        <v>0</v>
      </c>
      <c r="J228" s="222">
        <v>0</v>
      </c>
      <c r="K228" s="222">
        <v>0</v>
      </c>
      <c r="L228" s="222">
        <f t="shared" si="31"/>
        <v>0</v>
      </c>
      <c r="M228" s="222">
        <v>0</v>
      </c>
      <c r="N228" s="222">
        <v>0</v>
      </c>
      <c r="O228" s="222">
        <v>0</v>
      </c>
      <c r="P228" s="222">
        <f t="shared" si="32"/>
        <v>0</v>
      </c>
      <c r="Q228" s="221">
        <v>24387.11</v>
      </c>
      <c r="R228" s="221">
        <v>0</v>
      </c>
      <c r="S228" s="221">
        <v>0</v>
      </c>
      <c r="T228" s="221">
        <v>0</v>
      </c>
      <c r="U228" s="221">
        <f t="shared" si="33"/>
        <v>24387.11</v>
      </c>
      <c r="V228" s="221">
        <f t="shared" si="34"/>
        <v>2053581.85</v>
      </c>
      <c r="W228" s="172">
        <v>0</v>
      </c>
      <c r="X228" s="172">
        <f t="shared" si="35"/>
        <v>2053581.85</v>
      </c>
      <c r="Y228" s="173">
        <v>3393.86</v>
      </c>
      <c r="Z228" s="172">
        <f t="shared" si="36"/>
        <v>2056975.7100000002</v>
      </c>
    </row>
    <row r="229" spans="1:26" ht="12.75" hidden="1" outlineLevel="1">
      <c r="A229" s="172" t="s">
        <v>2524</v>
      </c>
      <c r="C229" s="173" t="s">
        <v>2525</v>
      </c>
      <c r="D229" s="173" t="s">
        <v>2526</v>
      </c>
      <c r="E229" s="172">
        <v>0</v>
      </c>
      <c r="F229" s="172">
        <v>456164.34</v>
      </c>
      <c r="G229" s="221">
        <f t="shared" si="30"/>
        <v>456164.34</v>
      </c>
      <c r="H229" s="222">
        <v>378374.93</v>
      </c>
      <c r="I229" s="222">
        <v>0</v>
      </c>
      <c r="J229" s="222">
        <v>0</v>
      </c>
      <c r="K229" s="222">
        <v>0</v>
      </c>
      <c r="L229" s="222">
        <f t="shared" si="31"/>
        <v>0</v>
      </c>
      <c r="M229" s="222">
        <v>0</v>
      </c>
      <c r="N229" s="222">
        <v>0</v>
      </c>
      <c r="O229" s="222">
        <v>0</v>
      </c>
      <c r="P229" s="222">
        <f t="shared" si="32"/>
        <v>0</v>
      </c>
      <c r="Q229" s="221">
        <v>20589.95</v>
      </c>
      <c r="R229" s="221">
        <v>32845.91</v>
      </c>
      <c r="S229" s="221">
        <v>0</v>
      </c>
      <c r="T229" s="221">
        <v>0</v>
      </c>
      <c r="U229" s="221">
        <f t="shared" si="33"/>
        <v>53435.86</v>
      </c>
      <c r="V229" s="221">
        <f t="shared" si="34"/>
        <v>887975.13</v>
      </c>
      <c r="W229" s="172">
        <v>0</v>
      </c>
      <c r="X229" s="172">
        <f t="shared" si="35"/>
        <v>887975.13</v>
      </c>
      <c r="Y229" s="173">
        <v>0</v>
      </c>
      <c r="Z229" s="172">
        <f t="shared" si="36"/>
        <v>887975.13</v>
      </c>
    </row>
    <row r="230" spans="1:26" ht="12.75" hidden="1" outlineLevel="1">
      <c r="A230" s="172" t="s">
        <v>2527</v>
      </c>
      <c r="C230" s="173" t="s">
        <v>2528</v>
      </c>
      <c r="D230" s="173" t="s">
        <v>2529</v>
      </c>
      <c r="E230" s="172">
        <v>0</v>
      </c>
      <c r="F230" s="172">
        <v>1562.87</v>
      </c>
      <c r="G230" s="221">
        <f t="shared" si="30"/>
        <v>1562.87</v>
      </c>
      <c r="H230" s="222">
        <v>1498.22</v>
      </c>
      <c r="I230" s="222">
        <v>0</v>
      </c>
      <c r="J230" s="222">
        <v>0</v>
      </c>
      <c r="K230" s="222">
        <v>0</v>
      </c>
      <c r="L230" s="222">
        <f t="shared" si="31"/>
        <v>0</v>
      </c>
      <c r="M230" s="222">
        <v>0</v>
      </c>
      <c r="N230" s="222">
        <v>0</v>
      </c>
      <c r="O230" s="222">
        <v>0</v>
      </c>
      <c r="P230" s="222">
        <f t="shared" si="32"/>
        <v>0</v>
      </c>
      <c r="Q230" s="221">
        <v>0</v>
      </c>
      <c r="R230" s="221">
        <v>0</v>
      </c>
      <c r="S230" s="221">
        <v>0</v>
      </c>
      <c r="T230" s="221">
        <v>0</v>
      </c>
      <c r="U230" s="221">
        <f t="shared" si="33"/>
        <v>0</v>
      </c>
      <c r="V230" s="221">
        <f t="shared" si="34"/>
        <v>3061.09</v>
      </c>
      <c r="W230" s="172">
        <v>0</v>
      </c>
      <c r="X230" s="172">
        <f t="shared" si="35"/>
        <v>3061.09</v>
      </c>
      <c r="Y230" s="173">
        <v>0</v>
      </c>
      <c r="Z230" s="172">
        <f t="shared" si="36"/>
        <v>3061.09</v>
      </c>
    </row>
    <row r="231" spans="1:26" ht="12.75" hidden="1" outlineLevel="1">
      <c r="A231" s="172" t="s">
        <v>2530</v>
      </c>
      <c r="C231" s="173" t="s">
        <v>2531</v>
      </c>
      <c r="D231" s="173" t="s">
        <v>2532</v>
      </c>
      <c r="E231" s="172">
        <v>0</v>
      </c>
      <c r="F231" s="172">
        <v>7010.32</v>
      </c>
      <c r="G231" s="221">
        <f t="shared" si="30"/>
        <v>7010.32</v>
      </c>
      <c r="H231" s="222">
        <v>223538.6</v>
      </c>
      <c r="I231" s="222">
        <v>0</v>
      </c>
      <c r="J231" s="222">
        <v>0</v>
      </c>
      <c r="K231" s="222">
        <v>0</v>
      </c>
      <c r="L231" s="222">
        <f t="shared" si="31"/>
        <v>0</v>
      </c>
      <c r="M231" s="222">
        <v>0</v>
      </c>
      <c r="N231" s="222">
        <v>0</v>
      </c>
      <c r="O231" s="222">
        <v>0</v>
      </c>
      <c r="P231" s="222">
        <f t="shared" si="32"/>
        <v>0</v>
      </c>
      <c r="Q231" s="221">
        <v>0</v>
      </c>
      <c r="R231" s="221">
        <v>0</v>
      </c>
      <c r="S231" s="221">
        <v>0</v>
      </c>
      <c r="T231" s="221">
        <v>0</v>
      </c>
      <c r="U231" s="221">
        <f t="shared" si="33"/>
        <v>0</v>
      </c>
      <c r="V231" s="221">
        <f t="shared" si="34"/>
        <v>230548.92</v>
      </c>
      <c r="W231" s="172">
        <v>0</v>
      </c>
      <c r="X231" s="172">
        <f t="shared" si="35"/>
        <v>230548.92</v>
      </c>
      <c r="Y231" s="173">
        <v>0</v>
      </c>
      <c r="Z231" s="172">
        <f t="shared" si="36"/>
        <v>230548.92</v>
      </c>
    </row>
    <row r="232" spans="1:26" ht="12.75" hidden="1" outlineLevel="1">
      <c r="A232" s="172" t="s">
        <v>2533</v>
      </c>
      <c r="C232" s="173" t="s">
        <v>2534</v>
      </c>
      <c r="D232" s="173" t="s">
        <v>2535</v>
      </c>
      <c r="E232" s="172">
        <v>0</v>
      </c>
      <c r="F232" s="172">
        <v>7062</v>
      </c>
      <c r="G232" s="221">
        <f t="shared" si="30"/>
        <v>7062</v>
      </c>
      <c r="H232" s="222">
        <v>600</v>
      </c>
      <c r="I232" s="222">
        <v>0</v>
      </c>
      <c r="J232" s="222">
        <v>0</v>
      </c>
      <c r="K232" s="222">
        <v>0</v>
      </c>
      <c r="L232" s="222">
        <f t="shared" si="31"/>
        <v>0</v>
      </c>
      <c r="M232" s="222">
        <v>0</v>
      </c>
      <c r="N232" s="222">
        <v>0</v>
      </c>
      <c r="O232" s="222">
        <v>0</v>
      </c>
      <c r="P232" s="222">
        <f t="shared" si="32"/>
        <v>0</v>
      </c>
      <c r="Q232" s="221">
        <v>0</v>
      </c>
      <c r="R232" s="221">
        <v>0</v>
      </c>
      <c r="S232" s="221">
        <v>0</v>
      </c>
      <c r="T232" s="221">
        <v>0</v>
      </c>
      <c r="U232" s="221">
        <f t="shared" si="33"/>
        <v>0</v>
      </c>
      <c r="V232" s="221">
        <f t="shared" si="34"/>
        <v>7662</v>
      </c>
      <c r="W232" s="172">
        <v>0</v>
      </c>
      <c r="X232" s="172">
        <f t="shared" si="35"/>
        <v>7662</v>
      </c>
      <c r="Y232" s="173">
        <v>0</v>
      </c>
      <c r="Z232" s="172">
        <f t="shared" si="36"/>
        <v>7662</v>
      </c>
    </row>
    <row r="233" spans="1:26" ht="12.75" hidden="1" outlineLevel="1">
      <c r="A233" s="172" t="s">
        <v>2536</v>
      </c>
      <c r="C233" s="173" t="s">
        <v>2537</v>
      </c>
      <c r="D233" s="173" t="s">
        <v>2538</v>
      </c>
      <c r="E233" s="172">
        <v>0</v>
      </c>
      <c r="F233" s="172">
        <v>34727.17</v>
      </c>
      <c r="G233" s="221">
        <f t="shared" si="30"/>
        <v>34727.17</v>
      </c>
      <c r="H233" s="222">
        <v>1024.97</v>
      </c>
      <c r="I233" s="222">
        <v>0</v>
      </c>
      <c r="J233" s="222">
        <v>0</v>
      </c>
      <c r="K233" s="222">
        <v>0</v>
      </c>
      <c r="L233" s="222">
        <f t="shared" si="31"/>
        <v>0</v>
      </c>
      <c r="M233" s="222">
        <v>0</v>
      </c>
      <c r="N233" s="222">
        <v>0</v>
      </c>
      <c r="O233" s="222">
        <v>0</v>
      </c>
      <c r="P233" s="222">
        <f t="shared" si="32"/>
        <v>0</v>
      </c>
      <c r="Q233" s="221">
        <v>3343</v>
      </c>
      <c r="R233" s="221">
        <v>0</v>
      </c>
      <c r="S233" s="221">
        <v>0</v>
      </c>
      <c r="T233" s="221">
        <v>0</v>
      </c>
      <c r="U233" s="221">
        <f t="shared" si="33"/>
        <v>3343</v>
      </c>
      <c r="V233" s="221">
        <f t="shared" si="34"/>
        <v>39095.14</v>
      </c>
      <c r="W233" s="172">
        <v>0</v>
      </c>
      <c r="X233" s="172">
        <f t="shared" si="35"/>
        <v>39095.14</v>
      </c>
      <c r="Y233" s="173">
        <v>0</v>
      </c>
      <c r="Z233" s="172">
        <f t="shared" si="36"/>
        <v>39095.14</v>
      </c>
    </row>
    <row r="234" spans="1:26" ht="12.75" hidden="1" outlineLevel="1">
      <c r="A234" s="172" t="s">
        <v>2539</v>
      </c>
      <c r="C234" s="173" t="s">
        <v>2540</v>
      </c>
      <c r="D234" s="173" t="s">
        <v>2541</v>
      </c>
      <c r="E234" s="172">
        <v>0</v>
      </c>
      <c r="F234" s="172">
        <v>49588.42</v>
      </c>
      <c r="G234" s="221">
        <f t="shared" si="30"/>
        <v>49588.42</v>
      </c>
      <c r="H234" s="222">
        <v>541.5</v>
      </c>
      <c r="I234" s="222">
        <v>0</v>
      </c>
      <c r="J234" s="222">
        <v>0</v>
      </c>
      <c r="K234" s="222">
        <v>0</v>
      </c>
      <c r="L234" s="222">
        <f t="shared" si="31"/>
        <v>0</v>
      </c>
      <c r="M234" s="222">
        <v>0</v>
      </c>
      <c r="N234" s="222">
        <v>0</v>
      </c>
      <c r="O234" s="222">
        <v>0</v>
      </c>
      <c r="P234" s="222">
        <f t="shared" si="32"/>
        <v>0</v>
      </c>
      <c r="Q234" s="221">
        <v>0</v>
      </c>
      <c r="R234" s="221">
        <v>0</v>
      </c>
      <c r="S234" s="221">
        <v>0</v>
      </c>
      <c r="T234" s="221">
        <v>0</v>
      </c>
      <c r="U234" s="221">
        <f t="shared" si="33"/>
        <v>0</v>
      </c>
      <c r="V234" s="221">
        <f t="shared" si="34"/>
        <v>50129.92</v>
      </c>
      <c r="W234" s="172">
        <v>0</v>
      </c>
      <c r="X234" s="172">
        <f t="shared" si="35"/>
        <v>50129.92</v>
      </c>
      <c r="Y234" s="173">
        <v>0</v>
      </c>
      <c r="Z234" s="172">
        <f t="shared" si="36"/>
        <v>50129.92</v>
      </c>
    </row>
    <row r="235" spans="1:26" ht="12.75" hidden="1" outlineLevel="1">
      <c r="A235" s="172" t="s">
        <v>2542</v>
      </c>
      <c r="C235" s="173" t="s">
        <v>2543</v>
      </c>
      <c r="D235" s="173" t="s">
        <v>2544</v>
      </c>
      <c r="E235" s="172">
        <v>0</v>
      </c>
      <c r="F235" s="172">
        <v>7007.7</v>
      </c>
      <c r="G235" s="221">
        <f t="shared" si="30"/>
        <v>7007.7</v>
      </c>
      <c r="H235" s="222">
        <v>0</v>
      </c>
      <c r="I235" s="222">
        <v>0</v>
      </c>
      <c r="J235" s="222">
        <v>0</v>
      </c>
      <c r="K235" s="222">
        <v>0</v>
      </c>
      <c r="L235" s="222">
        <f t="shared" si="31"/>
        <v>0</v>
      </c>
      <c r="M235" s="222">
        <v>0</v>
      </c>
      <c r="N235" s="222">
        <v>0</v>
      </c>
      <c r="O235" s="222">
        <v>0</v>
      </c>
      <c r="P235" s="222">
        <f t="shared" si="32"/>
        <v>0</v>
      </c>
      <c r="Q235" s="221">
        <v>0</v>
      </c>
      <c r="R235" s="221">
        <v>0</v>
      </c>
      <c r="S235" s="221">
        <v>0</v>
      </c>
      <c r="T235" s="221">
        <v>0</v>
      </c>
      <c r="U235" s="221">
        <f t="shared" si="33"/>
        <v>0</v>
      </c>
      <c r="V235" s="221">
        <f t="shared" si="34"/>
        <v>7007.7</v>
      </c>
      <c r="W235" s="172">
        <v>0</v>
      </c>
      <c r="X235" s="172">
        <f t="shared" si="35"/>
        <v>7007.7</v>
      </c>
      <c r="Y235" s="173">
        <v>0</v>
      </c>
      <c r="Z235" s="172">
        <f t="shared" si="36"/>
        <v>7007.7</v>
      </c>
    </row>
    <row r="236" spans="1:26" ht="12.75" hidden="1" outlineLevel="1">
      <c r="A236" s="172" t="s">
        <v>2545</v>
      </c>
      <c r="C236" s="173" t="s">
        <v>2546</v>
      </c>
      <c r="D236" s="173" t="s">
        <v>2547</v>
      </c>
      <c r="E236" s="172">
        <v>0</v>
      </c>
      <c r="F236" s="172">
        <v>10100.78</v>
      </c>
      <c r="G236" s="221">
        <f t="shared" si="30"/>
        <v>10100.78</v>
      </c>
      <c r="H236" s="222">
        <v>0</v>
      </c>
      <c r="I236" s="222">
        <v>0</v>
      </c>
      <c r="J236" s="222">
        <v>0</v>
      </c>
      <c r="K236" s="222">
        <v>0</v>
      </c>
      <c r="L236" s="222">
        <f t="shared" si="31"/>
        <v>0</v>
      </c>
      <c r="M236" s="222">
        <v>0</v>
      </c>
      <c r="N236" s="222">
        <v>0</v>
      </c>
      <c r="O236" s="222">
        <v>0</v>
      </c>
      <c r="P236" s="222">
        <f t="shared" si="32"/>
        <v>0</v>
      </c>
      <c r="Q236" s="221">
        <v>0</v>
      </c>
      <c r="R236" s="221">
        <v>0</v>
      </c>
      <c r="S236" s="221">
        <v>0</v>
      </c>
      <c r="T236" s="221">
        <v>0</v>
      </c>
      <c r="U236" s="221">
        <f t="shared" si="33"/>
        <v>0</v>
      </c>
      <c r="V236" s="221">
        <f t="shared" si="34"/>
        <v>10100.78</v>
      </c>
      <c r="W236" s="172">
        <v>0</v>
      </c>
      <c r="X236" s="172">
        <f t="shared" si="35"/>
        <v>10100.78</v>
      </c>
      <c r="Y236" s="173">
        <v>0</v>
      </c>
      <c r="Z236" s="172">
        <f t="shared" si="36"/>
        <v>10100.78</v>
      </c>
    </row>
    <row r="237" spans="1:26" ht="12.75" hidden="1" outlineLevel="1">
      <c r="A237" s="172" t="s">
        <v>2548</v>
      </c>
      <c r="C237" s="173" t="s">
        <v>2549</v>
      </c>
      <c r="D237" s="173" t="s">
        <v>2550</v>
      </c>
      <c r="E237" s="172">
        <v>0</v>
      </c>
      <c r="F237" s="172">
        <v>31690.51</v>
      </c>
      <c r="G237" s="221">
        <f t="shared" si="30"/>
        <v>31690.51</v>
      </c>
      <c r="H237" s="222">
        <v>0</v>
      </c>
      <c r="I237" s="222">
        <v>0</v>
      </c>
      <c r="J237" s="222">
        <v>0</v>
      </c>
      <c r="K237" s="222">
        <v>0</v>
      </c>
      <c r="L237" s="222">
        <f t="shared" si="31"/>
        <v>0</v>
      </c>
      <c r="M237" s="222">
        <v>0</v>
      </c>
      <c r="N237" s="222">
        <v>0</v>
      </c>
      <c r="O237" s="222">
        <v>0</v>
      </c>
      <c r="P237" s="222">
        <f t="shared" si="32"/>
        <v>0</v>
      </c>
      <c r="Q237" s="221">
        <v>626.93</v>
      </c>
      <c r="R237" s="221">
        <v>0</v>
      </c>
      <c r="S237" s="221">
        <v>0</v>
      </c>
      <c r="T237" s="221">
        <v>0</v>
      </c>
      <c r="U237" s="221">
        <f t="shared" si="33"/>
        <v>626.93</v>
      </c>
      <c r="V237" s="221">
        <f t="shared" si="34"/>
        <v>32317.44</v>
      </c>
      <c r="W237" s="172">
        <v>0</v>
      </c>
      <c r="X237" s="172">
        <f t="shared" si="35"/>
        <v>32317.44</v>
      </c>
      <c r="Y237" s="173">
        <v>0</v>
      </c>
      <c r="Z237" s="172">
        <f t="shared" si="36"/>
        <v>32317.44</v>
      </c>
    </row>
    <row r="238" spans="1:26" ht="12.75" hidden="1" outlineLevel="1">
      <c r="A238" s="172" t="s">
        <v>2551</v>
      </c>
      <c r="C238" s="173" t="s">
        <v>2552</v>
      </c>
      <c r="D238" s="173" t="s">
        <v>2553</v>
      </c>
      <c r="E238" s="172">
        <v>0</v>
      </c>
      <c r="F238" s="172">
        <v>2142182.93</v>
      </c>
      <c r="G238" s="221">
        <f t="shared" si="30"/>
        <v>2142182.93</v>
      </c>
      <c r="H238" s="222">
        <v>177137.64</v>
      </c>
      <c r="I238" s="222">
        <v>0</v>
      </c>
      <c r="J238" s="222">
        <v>0</v>
      </c>
      <c r="K238" s="222">
        <v>0</v>
      </c>
      <c r="L238" s="222">
        <f t="shared" si="31"/>
        <v>0</v>
      </c>
      <c r="M238" s="222">
        <v>0</v>
      </c>
      <c r="N238" s="222">
        <v>0</v>
      </c>
      <c r="O238" s="222">
        <v>0</v>
      </c>
      <c r="P238" s="222">
        <f t="shared" si="32"/>
        <v>0</v>
      </c>
      <c r="Q238" s="221">
        <v>15206.46</v>
      </c>
      <c r="R238" s="221">
        <v>0</v>
      </c>
      <c r="S238" s="221">
        <v>0</v>
      </c>
      <c r="T238" s="221">
        <v>0</v>
      </c>
      <c r="U238" s="221">
        <f t="shared" si="33"/>
        <v>15206.46</v>
      </c>
      <c r="V238" s="221">
        <f t="shared" si="34"/>
        <v>2334527.0300000003</v>
      </c>
      <c r="W238" s="172">
        <v>0</v>
      </c>
      <c r="X238" s="172">
        <f t="shared" si="35"/>
        <v>2334527.0300000003</v>
      </c>
      <c r="Y238" s="173">
        <v>1525</v>
      </c>
      <c r="Z238" s="172">
        <f t="shared" si="36"/>
        <v>2336052.0300000003</v>
      </c>
    </row>
    <row r="239" spans="1:26" ht="12.75" hidden="1" outlineLevel="1">
      <c r="A239" s="172" t="s">
        <v>2554</v>
      </c>
      <c r="C239" s="173" t="s">
        <v>2555</v>
      </c>
      <c r="D239" s="173" t="s">
        <v>2556</v>
      </c>
      <c r="E239" s="172">
        <v>0</v>
      </c>
      <c r="F239" s="172">
        <v>265425.43</v>
      </c>
      <c r="G239" s="221">
        <f t="shared" si="30"/>
        <v>265425.43</v>
      </c>
      <c r="H239" s="222">
        <v>10129.14</v>
      </c>
      <c r="I239" s="222">
        <v>0</v>
      </c>
      <c r="J239" s="222">
        <v>0</v>
      </c>
      <c r="K239" s="222">
        <v>0</v>
      </c>
      <c r="L239" s="222">
        <f t="shared" si="31"/>
        <v>0</v>
      </c>
      <c r="M239" s="222">
        <v>0</v>
      </c>
      <c r="N239" s="222">
        <v>0</v>
      </c>
      <c r="O239" s="222">
        <v>0</v>
      </c>
      <c r="P239" s="222">
        <f t="shared" si="32"/>
        <v>0</v>
      </c>
      <c r="Q239" s="221">
        <v>0</v>
      </c>
      <c r="R239" s="221">
        <v>0</v>
      </c>
      <c r="S239" s="221">
        <v>0</v>
      </c>
      <c r="T239" s="221">
        <v>0</v>
      </c>
      <c r="U239" s="221">
        <f t="shared" si="33"/>
        <v>0</v>
      </c>
      <c r="V239" s="221">
        <f t="shared" si="34"/>
        <v>275554.57</v>
      </c>
      <c r="W239" s="172">
        <v>0</v>
      </c>
      <c r="X239" s="172">
        <f t="shared" si="35"/>
        <v>275554.57</v>
      </c>
      <c r="Y239" s="173">
        <v>0</v>
      </c>
      <c r="Z239" s="172">
        <f t="shared" si="36"/>
        <v>275554.57</v>
      </c>
    </row>
    <row r="240" spans="1:26" ht="12.75" hidden="1" outlineLevel="1">
      <c r="A240" s="172" t="s">
        <v>2557</v>
      </c>
      <c r="C240" s="173" t="s">
        <v>2558</v>
      </c>
      <c r="D240" s="173" t="s">
        <v>2559</v>
      </c>
      <c r="E240" s="172">
        <v>0</v>
      </c>
      <c r="F240" s="172">
        <v>30176.87</v>
      </c>
      <c r="G240" s="221">
        <f t="shared" si="30"/>
        <v>30176.87</v>
      </c>
      <c r="H240" s="222">
        <v>26521.43</v>
      </c>
      <c r="I240" s="222">
        <v>0</v>
      </c>
      <c r="J240" s="222">
        <v>0</v>
      </c>
      <c r="K240" s="222">
        <v>0</v>
      </c>
      <c r="L240" s="222">
        <f t="shared" si="31"/>
        <v>0</v>
      </c>
      <c r="M240" s="222">
        <v>0</v>
      </c>
      <c r="N240" s="222">
        <v>0</v>
      </c>
      <c r="O240" s="222">
        <v>0</v>
      </c>
      <c r="P240" s="222">
        <f t="shared" si="32"/>
        <v>0</v>
      </c>
      <c r="Q240" s="221">
        <v>0</v>
      </c>
      <c r="R240" s="221">
        <v>0</v>
      </c>
      <c r="S240" s="221">
        <v>0</v>
      </c>
      <c r="T240" s="221">
        <v>0</v>
      </c>
      <c r="U240" s="221">
        <f t="shared" si="33"/>
        <v>0</v>
      </c>
      <c r="V240" s="221">
        <f t="shared" si="34"/>
        <v>56698.3</v>
      </c>
      <c r="W240" s="172">
        <v>0</v>
      </c>
      <c r="X240" s="172">
        <f t="shared" si="35"/>
        <v>56698.3</v>
      </c>
      <c r="Y240" s="173">
        <v>0</v>
      </c>
      <c r="Z240" s="172">
        <f t="shared" si="36"/>
        <v>56698.3</v>
      </c>
    </row>
    <row r="241" spans="1:26" ht="12.75" hidden="1" outlineLevel="1">
      <c r="A241" s="172" t="s">
        <v>2560</v>
      </c>
      <c r="C241" s="173" t="s">
        <v>2561</v>
      </c>
      <c r="D241" s="173" t="s">
        <v>2562</v>
      </c>
      <c r="E241" s="172">
        <v>0</v>
      </c>
      <c r="F241" s="172">
        <v>1452</v>
      </c>
      <c r="G241" s="221">
        <f t="shared" si="30"/>
        <v>1452</v>
      </c>
      <c r="H241" s="222">
        <v>0</v>
      </c>
      <c r="I241" s="222">
        <v>0</v>
      </c>
      <c r="J241" s="222">
        <v>0</v>
      </c>
      <c r="K241" s="222">
        <v>0</v>
      </c>
      <c r="L241" s="222">
        <f t="shared" si="31"/>
        <v>0</v>
      </c>
      <c r="M241" s="222">
        <v>0</v>
      </c>
      <c r="N241" s="222">
        <v>0</v>
      </c>
      <c r="O241" s="222">
        <v>0</v>
      </c>
      <c r="P241" s="222">
        <f t="shared" si="32"/>
        <v>0</v>
      </c>
      <c r="Q241" s="221">
        <v>0</v>
      </c>
      <c r="R241" s="221">
        <v>0</v>
      </c>
      <c r="S241" s="221">
        <v>0</v>
      </c>
      <c r="T241" s="221">
        <v>0</v>
      </c>
      <c r="U241" s="221">
        <f t="shared" si="33"/>
        <v>0</v>
      </c>
      <c r="V241" s="221">
        <f t="shared" si="34"/>
        <v>1452</v>
      </c>
      <c r="W241" s="172">
        <v>0</v>
      </c>
      <c r="X241" s="172">
        <f t="shared" si="35"/>
        <v>1452</v>
      </c>
      <c r="Y241" s="173">
        <v>0</v>
      </c>
      <c r="Z241" s="172">
        <f t="shared" si="36"/>
        <v>1452</v>
      </c>
    </row>
    <row r="242" spans="1:26" ht="12.75" hidden="1" outlineLevel="1">
      <c r="A242" s="172" t="s">
        <v>2563</v>
      </c>
      <c r="C242" s="173" t="s">
        <v>2564</v>
      </c>
      <c r="D242" s="173" t="s">
        <v>2565</v>
      </c>
      <c r="E242" s="172">
        <v>0</v>
      </c>
      <c r="F242" s="172">
        <v>35190.11</v>
      </c>
      <c r="G242" s="221">
        <f t="shared" si="30"/>
        <v>35190.11</v>
      </c>
      <c r="H242" s="222">
        <v>44524.64</v>
      </c>
      <c r="I242" s="222">
        <v>0</v>
      </c>
      <c r="J242" s="222">
        <v>0</v>
      </c>
      <c r="K242" s="222">
        <v>0</v>
      </c>
      <c r="L242" s="222">
        <f t="shared" si="31"/>
        <v>0</v>
      </c>
      <c r="M242" s="222">
        <v>0</v>
      </c>
      <c r="N242" s="222">
        <v>0</v>
      </c>
      <c r="O242" s="222">
        <v>0</v>
      </c>
      <c r="P242" s="222">
        <f t="shared" si="32"/>
        <v>0</v>
      </c>
      <c r="Q242" s="221">
        <v>0</v>
      </c>
      <c r="R242" s="221">
        <v>0</v>
      </c>
      <c r="S242" s="221">
        <v>0</v>
      </c>
      <c r="T242" s="221">
        <v>0</v>
      </c>
      <c r="U242" s="221">
        <f t="shared" si="33"/>
        <v>0</v>
      </c>
      <c r="V242" s="221">
        <f t="shared" si="34"/>
        <v>79714.75</v>
      </c>
      <c r="W242" s="172">
        <v>0</v>
      </c>
      <c r="X242" s="172">
        <f t="shared" si="35"/>
        <v>79714.75</v>
      </c>
      <c r="Y242" s="173">
        <v>0</v>
      </c>
      <c r="Z242" s="172">
        <f t="shared" si="36"/>
        <v>79714.75</v>
      </c>
    </row>
    <row r="243" spans="1:26" ht="12.75" hidden="1" outlineLevel="1">
      <c r="A243" s="172" t="s">
        <v>2566</v>
      </c>
      <c r="C243" s="173" t="s">
        <v>2567</v>
      </c>
      <c r="D243" s="173" t="s">
        <v>2568</v>
      </c>
      <c r="E243" s="172">
        <v>0</v>
      </c>
      <c r="F243" s="172">
        <v>367975.31</v>
      </c>
      <c r="G243" s="221">
        <f t="shared" si="30"/>
        <v>367975.31</v>
      </c>
      <c r="H243" s="222">
        <v>0</v>
      </c>
      <c r="I243" s="222">
        <v>0</v>
      </c>
      <c r="J243" s="222">
        <v>0</v>
      </c>
      <c r="K243" s="222">
        <v>0</v>
      </c>
      <c r="L243" s="222">
        <f t="shared" si="31"/>
        <v>0</v>
      </c>
      <c r="M243" s="222">
        <v>0</v>
      </c>
      <c r="N243" s="222">
        <v>0</v>
      </c>
      <c r="O243" s="222">
        <v>0</v>
      </c>
      <c r="P243" s="222">
        <f t="shared" si="32"/>
        <v>0</v>
      </c>
      <c r="Q243" s="221">
        <v>0</v>
      </c>
      <c r="R243" s="221">
        <v>0</v>
      </c>
      <c r="S243" s="221">
        <v>0</v>
      </c>
      <c r="T243" s="221">
        <v>0</v>
      </c>
      <c r="U243" s="221">
        <f t="shared" si="33"/>
        <v>0</v>
      </c>
      <c r="V243" s="221">
        <f t="shared" si="34"/>
        <v>367975.31</v>
      </c>
      <c r="W243" s="172">
        <v>0</v>
      </c>
      <c r="X243" s="172">
        <f t="shared" si="35"/>
        <v>367975.31</v>
      </c>
      <c r="Y243" s="173">
        <v>0</v>
      </c>
      <c r="Z243" s="172">
        <f t="shared" si="36"/>
        <v>367975.31</v>
      </c>
    </row>
    <row r="244" spans="1:26" ht="12.75" hidden="1" outlineLevel="1">
      <c r="A244" s="172" t="s">
        <v>2569</v>
      </c>
      <c r="C244" s="173" t="s">
        <v>2570</v>
      </c>
      <c r="D244" s="173" t="s">
        <v>2571</v>
      </c>
      <c r="E244" s="172">
        <v>0</v>
      </c>
      <c r="F244" s="172">
        <v>100</v>
      </c>
      <c r="G244" s="221">
        <f t="shared" si="30"/>
        <v>100</v>
      </c>
      <c r="H244" s="222">
        <v>0</v>
      </c>
      <c r="I244" s="222">
        <v>0</v>
      </c>
      <c r="J244" s="222">
        <v>0</v>
      </c>
      <c r="K244" s="222">
        <v>0</v>
      </c>
      <c r="L244" s="222">
        <f t="shared" si="31"/>
        <v>0</v>
      </c>
      <c r="M244" s="222">
        <v>0</v>
      </c>
      <c r="N244" s="222">
        <v>0</v>
      </c>
      <c r="O244" s="222">
        <v>0</v>
      </c>
      <c r="P244" s="222">
        <f t="shared" si="32"/>
        <v>0</v>
      </c>
      <c r="Q244" s="221">
        <v>0</v>
      </c>
      <c r="R244" s="221">
        <v>0</v>
      </c>
      <c r="S244" s="221">
        <v>0</v>
      </c>
      <c r="T244" s="221">
        <v>0</v>
      </c>
      <c r="U244" s="221">
        <f t="shared" si="33"/>
        <v>0</v>
      </c>
      <c r="V244" s="221">
        <f t="shared" si="34"/>
        <v>100</v>
      </c>
      <c r="W244" s="172">
        <v>0</v>
      </c>
      <c r="X244" s="172">
        <f t="shared" si="35"/>
        <v>100</v>
      </c>
      <c r="Y244" s="173">
        <v>0</v>
      </c>
      <c r="Z244" s="172">
        <f t="shared" si="36"/>
        <v>100</v>
      </c>
    </row>
    <row r="245" spans="1:26" ht="12.75" hidden="1" outlineLevel="1">
      <c r="A245" s="172" t="s">
        <v>2572</v>
      </c>
      <c r="C245" s="173" t="s">
        <v>2573</v>
      </c>
      <c r="D245" s="173" t="s">
        <v>2574</v>
      </c>
      <c r="E245" s="172">
        <v>0</v>
      </c>
      <c r="F245" s="172">
        <v>248436.87</v>
      </c>
      <c r="G245" s="221">
        <f t="shared" si="30"/>
        <v>248436.87</v>
      </c>
      <c r="H245" s="222">
        <v>2480</v>
      </c>
      <c r="I245" s="222">
        <v>0</v>
      </c>
      <c r="J245" s="222">
        <v>0</v>
      </c>
      <c r="K245" s="222">
        <v>0</v>
      </c>
      <c r="L245" s="222">
        <f t="shared" si="31"/>
        <v>0</v>
      </c>
      <c r="M245" s="222">
        <v>0</v>
      </c>
      <c r="N245" s="222">
        <v>0</v>
      </c>
      <c r="O245" s="222">
        <v>0</v>
      </c>
      <c r="P245" s="222">
        <f t="shared" si="32"/>
        <v>0</v>
      </c>
      <c r="Q245" s="221">
        <v>0</v>
      </c>
      <c r="R245" s="221">
        <v>0</v>
      </c>
      <c r="S245" s="221">
        <v>0</v>
      </c>
      <c r="T245" s="221">
        <v>0</v>
      </c>
      <c r="U245" s="221">
        <f t="shared" si="33"/>
        <v>0</v>
      </c>
      <c r="V245" s="221">
        <f t="shared" si="34"/>
        <v>250916.87</v>
      </c>
      <c r="W245" s="172">
        <v>0</v>
      </c>
      <c r="X245" s="172">
        <f t="shared" si="35"/>
        <v>250916.87</v>
      </c>
      <c r="Y245" s="173">
        <v>0</v>
      </c>
      <c r="Z245" s="172">
        <f t="shared" si="36"/>
        <v>250916.87</v>
      </c>
    </row>
    <row r="246" spans="1:26" ht="12.75" hidden="1" outlineLevel="1">
      <c r="A246" s="172" t="s">
        <v>2575</v>
      </c>
      <c r="C246" s="173" t="s">
        <v>2576</v>
      </c>
      <c r="D246" s="173" t="s">
        <v>2577</v>
      </c>
      <c r="E246" s="172">
        <v>0</v>
      </c>
      <c r="F246" s="172">
        <v>-3914.88</v>
      </c>
      <c r="G246" s="221">
        <f t="shared" si="30"/>
        <v>-3914.88</v>
      </c>
      <c r="H246" s="222">
        <v>275628.04</v>
      </c>
      <c r="I246" s="222">
        <v>0</v>
      </c>
      <c r="J246" s="222">
        <v>0</v>
      </c>
      <c r="K246" s="222">
        <v>0</v>
      </c>
      <c r="L246" s="222">
        <f t="shared" si="31"/>
        <v>0</v>
      </c>
      <c r="M246" s="222">
        <v>0</v>
      </c>
      <c r="N246" s="222">
        <v>0</v>
      </c>
      <c r="O246" s="222">
        <v>0</v>
      </c>
      <c r="P246" s="222">
        <f t="shared" si="32"/>
        <v>0</v>
      </c>
      <c r="Q246" s="221">
        <v>0</v>
      </c>
      <c r="R246" s="221">
        <v>0</v>
      </c>
      <c r="S246" s="221">
        <v>0</v>
      </c>
      <c r="T246" s="221">
        <v>0</v>
      </c>
      <c r="U246" s="221">
        <f t="shared" si="33"/>
        <v>0</v>
      </c>
      <c r="V246" s="221">
        <f t="shared" si="34"/>
        <v>271713.16</v>
      </c>
      <c r="W246" s="172">
        <v>0</v>
      </c>
      <c r="X246" s="172">
        <f t="shared" si="35"/>
        <v>271713.16</v>
      </c>
      <c r="Y246" s="173">
        <v>0</v>
      </c>
      <c r="Z246" s="172">
        <f t="shared" si="36"/>
        <v>271713.16</v>
      </c>
    </row>
    <row r="247" spans="1:26" ht="12.75" hidden="1" outlineLevel="1">
      <c r="A247" s="172" t="s">
        <v>2578</v>
      </c>
      <c r="C247" s="173" t="s">
        <v>2579</v>
      </c>
      <c r="D247" s="173" t="s">
        <v>2580</v>
      </c>
      <c r="E247" s="172">
        <v>0</v>
      </c>
      <c r="F247" s="172">
        <v>38.35</v>
      </c>
      <c r="G247" s="221">
        <f t="shared" si="30"/>
        <v>38.35</v>
      </c>
      <c r="H247" s="222">
        <v>0</v>
      </c>
      <c r="I247" s="222">
        <v>0</v>
      </c>
      <c r="J247" s="222">
        <v>0</v>
      </c>
      <c r="K247" s="222">
        <v>0</v>
      </c>
      <c r="L247" s="222">
        <f t="shared" si="31"/>
        <v>0</v>
      </c>
      <c r="M247" s="222">
        <v>0</v>
      </c>
      <c r="N247" s="222">
        <v>0</v>
      </c>
      <c r="O247" s="222">
        <v>0</v>
      </c>
      <c r="P247" s="222">
        <f t="shared" si="32"/>
        <v>0</v>
      </c>
      <c r="Q247" s="221">
        <v>0</v>
      </c>
      <c r="R247" s="221">
        <v>0</v>
      </c>
      <c r="S247" s="221">
        <v>0</v>
      </c>
      <c r="T247" s="221">
        <v>0</v>
      </c>
      <c r="U247" s="221">
        <f t="shared" si="33"/>
        <v>0</v>
      </c>
      <c r="V247" s="221">
        <f t="shared" si="34"/>
        <v>38.35</v>
      </c>
      <c r="W247" s="172">
        <v>0</v>
      </c>
      <c r="X247" s="172">
        <f t="shared" si="35"/>
        <v>38.35</v>
      </c>
      <c r="Y247" s="173">
        <v>0</v>
      </c>
      <c r="Z247" s="172">
        <f t="shared" si="36"/>
        <v>38.35</v>
      </c>
    </row>
    <row r="248" spans="1:26" ht="12.75" hidden="1" outlineLevel="1">
      <c r="A248" s="172" t="s">
        <v>2581</v>
      </c>
      <c r="C248" s="173" t="s">
        <v>2582</v>
      </c>
      <c r="D248" s="173" t="s">
        <v>2583</v>
      </c>
      <c r="E248" s="172">
        <v>0</v>
      </c>
      <c r="F248" s="172">
        <v>27129.61</v>
      </c>
      <c r="G248" s="221">
        <f t="shared" si="30"/>
        <v>27129.61</v>
      </c>
      <c r="H248" s="222">
        <v>1069506.93</v>
      </c>
      <c r="I248" s="222">
        <v>0</v>
      </c>
      <c r="J248" s="222">
        <v>0</v>
      </c>
      <c r="K248" s="222">
        <v>0</v>
      </c>
      <c r="L248" s="222">
        <f t="shared" si="31"/>
        <v>0</v>
      </c>
      <c r="M248" s="222">
        <v>0</v>
      </c>
      <c r="N248" s="222">
        <v>0</v>
      </c>
      <c r="O248" s="222">
        <v>0</v>
      </c>
      <c r="P248" s="222">
        <f t="shared" si="32"/>
        <v>0</v>
      </c>
      <c r="Q248" s="221">
        <v>0</v>
      </c>
      <c r="R248" s="221">
        <v>0</v>
      </c>
      <c r="S248" s="221">
        <v>0</v>
      </c>
      <c r="T248" s="221">
        <v>0</v>
      </c>
      <c r="U248" s="221">
        <f t="shared" si="33"/>
        <v>0</v>
      </c>
      <c r="V248" s="221">
        <f t="shared" si="34"/>
        <v>1096636.54</v>
      </c>
      <c r="W248" s="172">
        <v>0</v>
      </c>
      <c r="X248" s="172">
        <f t="shared" si="35"/>
        <v>1096636.54</v>
      </c>
      <c r="Y248" s="173">
        <v>0</v>
      </c>
      <c r="Z248" s="172">
        <f t="shared" si="36"/>
        <v>1096636.54</v>
      </c>
    </row>
    <row r="249" spans="1:26" ht="12.75" hidden="1" outlineLevel="1">
      <c r="A249" s="172" t="s">
        <v>2584</v>
      </c>
      <c r="C249" s="173" t="s">
        <v>2585</v>
      </c>
      <c r="D249" s="173" t="s">
        <v>2586</v>
      </c>
      <c r="E249" s="172">
        <v>0</v>
      </c>
      <c r="F249" s="172">
        <v>143634.48</v>
      </c>
      <c r="G249" s="221">
        <f t="shared" si="30"/>
        <v>143634.48</v>
      </c>
      <c r="H249" s="222">
        <v>0</v>
      </c>
      <c r="I249" s="222">
        <v>0</v>
      </c>
      <c r="J249" s="222">
        <v>0</v>
      </c>
      <c r="K249" s="222">
        <v>0</v>
      </c>
      <c r="L249" s="222">
        <f t="shared" si="31"/>
        <v>0</v>
      </c>
      <c r="M249" s="222">
        <v>0</v>
      </c>
      <c r="N249" s="222">
        <v>0</v>
      </c>
      <c r="O249" s="222">
        <v>0</v>
      </c>
      <c r="P249" s="222">
        <f t="shared" si="32"/>
        <v>0</v>
      </c>
      <c r="Q249" s="221">
        <v>0</v>
      </c>
      <c r="R249" s="221">
        <v>0</v>
      </c>
      <c r="S249" s="221">
        <v>0</v>
      </c>
      <c r="T249" s="221">
        <v>0</v>
      </c>
      <c r="U249" s="221">
        <f t="shared" si="33"/>
        <v>0</v>
      </c>
      <c r="V249" s="221">
        <f t="shared" si="34"/>
        <v>143634.48</v>
      </c>
      <c r="W249" s="172">
        <v>0</v>
      </c>
      <c r="X249" s="172">
        <f t="shared" si="35"/>
        <v>143634.48</v>
      </c>
      <c r="Y249" s="173">
        <v>0</v>
      </c>
      <c r="Z249" s="172">
        <f t="shared" si="36"/>
        <v>143634.48</v>
      </c>
    </row>
    <row r="250" spans="1:26" ht="12.75" hidden="1" outlineLevel="1">
      <c r="A250" s="172" t="s">
        <v>2587</v>
      </c>
      <c r="C250" s="173" t="s">
        <v>2588</v>
      </c>
      <c r="D250" s="173" t="s">
        <v>2589</v>
      </c>
      <c r="E250" s="172">
        <v>0</v>
      </c>
      <c r="F250" s="172">
        <v>240037.4</v>
      </c>
      <c r="G250" s="221">
        <f t="shared" si="30"/>
        <v>240037.4</v>
      </c>
      <c r="H250" s="222">
        <v>2378.96</v>
      </c>
      <c r="I250" s="222">
        <v>0</v>
      </c>
      <c r="J250" s="222">
        <v>0</v>
      </c>
      <c r="K250" s="222">
        <v>0</v>
      </c>
      <c r="L250" s="222">
        <f t="shared" si="31"/>
        <v>0</v>
      </c>
      <c r="M250" s="222">
        <v>0</v>
      </c>
      <c r="N250" s="222">
        <v>0</v>
      </c>
      <c r="O250" s="222">
        <v>0</v>
      </c>
      <c r="P250" s="222">
        <f t="shared" si="32"/>
        <v>0</v>
      </c>
      <c r="Q250" s="221">
        <v>0</v>
      </c>
      <c r="R250" s="221">
        <v>0</v>
      </c>
      <c r="S250" s="221">
        <v>0</v>
      </c>
      <c r="T250" s="221">
        <v>0</v>
      </c>
      <c r="U250" s="221">
        <f t="shared" si="33"/>
        <v>0</v>
      </c>
      <c r="V250" s="221">
        <f t="shared" si="34"/>
        <v>242416.36</v>
      </c>
      <c r="W250" s="172">
        <v>0</v>
      </c>
      <c r="X250" s="172">
        <f t="shared" si="35"/>
        <v>242416.36</v>
      </c>
      <c r="Y250" s="173">
        <v>0</v>
      </c>
      <c r="Z250" s="172">
        <f t="shared" si="36"/>
        <v>242416.36</v>
      </c>
    </row>
    <row r="251" spans="1:26" ht="12.75" hidden="1" outlineLevel="1">
      <c r="A251" s="172" t="s">
        <v>2590</v>
      </c>
      <c r="C251" s="173" t="s">
        <v>2591</v>
      </c>
      <c r="D251" s="173" t="s">
        <v>2592</v>
      </c>
      <c r="E251" s="172">
        <v>0</v>
      </c>
      <c r="F251" s="172">
        <v>128149.89</v>
      </c>
      <c r="G251" s="221">
        <f t="shared" si="30"/>
        <v>128149.89</v>
      </c>
      <c r="H251" s="222">
        <v>0</v>
      </c>
      <c r="I251" s="222">
        <v>0</v>
      </c>
      <c r="J251" s="222">
        <v>0</v>
      </c>
      <c r="K251" s="222">
        <v>0</v>
      </c>
      <c r="L251" s="222">
        <f t="shared" si="31"/>
        <v>0</v>
      </c>
      <c r="M251" s="222">
        <v>0</v>
      </c>
      <c r="N251" s="222">
        <v>0</v>
      </c>
      <c r="O251" s="222">
        <v>0</v>
      </c>
      <c r="P251" s="222">
        <f t="shared" si="32"/>
        <v>0</v>
      </c>
      <c r="Q251" s="221">
        <v>0</v>
      </c>
      <c r="R251" s="221">
        <v>0</v>
      </c>
      <c r="S251" s="221">
        <v>0</v>
      </c>
      <c r="T251" s="221">
        <v>0</v>
      </c>
      <c r="U251" s="221">
        <f t="shared" si="33"/>
        <v>0</v>
      </c>
      <c r="V251" s="221">
        <f t="shared" si="34"/>
        <v>128149.89</v>
      </c>
      <c r="W251" s="172">
        <v>0</v>
      </c>
      <c r="X251" s="172">
        <f t="shared" si="35"/>
        <v>128149.89</v>
      </c>
      <c r="Y251" s="173">
        <v>0</v>
      </c>
      <c r="Z251" s="172">
        <f t="shared" si="36"/>
        <v>128149.89</v>
      </c>
    </row>
    <row r="252" spans="1:26" ht="12.75" hidden="1" outlineLevel="1">
      <c r="A252" s="172" t="s">
        <v>2593</v>
      </c>
      <c r="C252" s="173" t="s">
        <v>2594</v>
      </c>
      <c r="D252" s="173" t="s">
        <v>2595</v>
      </c>
      <c r="E252" s="172">
        <v>0</v>
      </c>
      <c r="F252" s="172">
        <v>415</v>
      </c>
      <c r="G252" s="221">
        <f t="shared" si="30"/>
        <v>415</v>
      </c>
      <c r="H252" s="222">
        <v>0</v>
      </c>
      <c r="I252" s="222">
        <v>0</v>
      </c>
      <c r="J252" s="222">
        <v>0</v>
      </c>
      <c r="K252" s="222">
        <v>0</v>
      </c>
      <c r="L252" s="222">
        <f t="shared" si="31"/>
        <v>0</v>
      </c>
      <c r="M252" s="222">
        <v>0</v>
      </c>
      <c r="N252" s="222">
        <v>0</v>
      </c>
      <c r="O252" s="222">
        <v>0</v>
      </c>
      <c r="P252" s="222">
        <f t="shared" si="32"/>
        <v>0</v>
      </c>
      <c r="Q252" s="221">
        <v>0</v>
      </c>
      <c r="R252" s="221">
        <v>0</v>
      </c>
      <c r="S252" s="221">
        <v>0</v>
      </c>
      <c r="T252" s="221">
        <v>0</v>
      </c>
      <c r="U252" s="221">
        <f t="shared" si="33"/>
        <v>0</v>
      </c>
      <c r="V252" s="221">
        <f t="shared" si="34"/>
        <v>415</v>
      </c>
      <c r="W252" s="172">
        <v>0</v>
      </c>
      <c r="X252" s="172">
        <f t="shared" si="35"/>
        <v>415</v>
      </c>
      <c r="Y252" s="173">
        <v>0</v>
      </c>
      <c r="Z252" s="172">
        <f t="shared" si="36"/>
        <v>415</v>
      </c>
    </row>
    <row r="253" spans="1:26" ht="12.75" hidden="1" outlineLevel="1">
      <c r="A253" s="172" t="s">
        <v>2596</v>
      </c>
      <c r="C253" s="173" t="s">
        <v>2597</v>
      </c>
      <c r="D253" s="173" t="s">
        <v>2598</v>
      </c>
      <c r="E253" s="172">
        <v>0</v>
      </c>
      <c r="F253" s="172">
        <v>20805.74</v>
      </c>
      <c r="G253" s="221">
        <f t="shared" si="30"/>
        <v>20805.74</v>
      </c>
      <c r="H253" s="222">
        <v>0</v>
      </c>
      <c r="I253" s="222">
        <v>0</v>
      </c>
      <c r="J253" s="222">
        <v>0</v>
      </c>
      <c r="K253" s="222">
        <v>0</v>
      </c>
      <c r="L253" s="222">
        <f t="shared" si="31"/>
        <v>0</v>
      </c>
      <c r="M253" s="222">
        <v>0</v>
      </c>
      <c r="N253" s="222">
        <v>0</v>
      </c>
      <c r="O253" s="222">
        <v>0</v>
      </c>
      <c r="P253" s="222">
        <f t="shared" si="32"/>
        <v>0</v>
      </c>
      <c r="Q253" s="221">
        <v>0</v>
      </c>
      <c r="R253" s="221">
        <v>0</v>
      </c>
      <c r="S253" s="221">
        <v>0</v>
      </c>
      <c r="T253" s="221">
        <v>0</v>
      </c>
      <c r="U253" s="221">
        <f t="shared" si="33"/>
        <v>0</v>
      </c>
      <c r="V253" s="221">
        <f t="shared" si="34"/>
        <v>20805.74</v>
      </c>
      <c r="W253" s="172">
        <v>0</v>
      </c>
      <c r="X253" s="172">
        <f t="shared" si="35"/>
        <v>20805.74</v>
      </c>
      <c r="Y253" s="173">
        <v>0</v>
      </c>
      <c r="Z253" s="172">
        <f t="shared" si="36"/>
        <v>20805.74</v>
      </c>
    </row>
    <row r="254" spans="1:26" ht="12.75" hidden="1" outlineLevel="1">
      <c r="A254" s="172" t="s">
        <v>2599</v>
      </c>
      <c r="C254" s="173" t="s">
        <v>2600</v>
      </c>
      <c r="D254" s="173" t="s">
        <v>2601</v>
      </c>
      <c r="E254" s="172">
        <v>0</v>
      </c>
      <c r="F254" s="172">
        <v>3393.7</v>
      </c>
      <c r="G254" s="221">
        <f t="shared" si="30"/>
        <v>3393.7</v>
      </c>
      <c r="H254" s="222">
        <v>0</v>
      </c>
      <c r="I254" s="222">
        <v>0</v>
      </c>
      <c r="J254" s="222">
        <v>0</v>
      </c>
      <c r="K254" s="222">
        <v>0</v>
      </c>
      <c r="L254" s="222">
        <f t="shared" si="31"/>
        <v>0</v>
      </c>
      <c r="M254" s="222">
        <v>0</v>
      </c>
      <c r="N254" s="222">
        <v>0</v>
      </c>
      <c r="O254" s="222">
        <v>0</v>
      </c>
      <c r="P254" s="222">
        <f t="shared" si="32"/>
        <v>0</v>
      </c>
      <c r="Q254" s="221">
        <v>0</v>
      </c>
      <c r="R254" s="221">
        <v>0</v>
      </c>
      <c r="S254" s="221">
        <v>0</v>
      </c>
      <c r="T254" s="221">
        <v>0</v>
      </c>
      <c r="U254" s="221">
        <f t="shared" si="33"/>
        <v>0</v>
      </c>
      <c r="V254" s="221">
        <f t="shared" si="34"/>
        <v>3393.7</v>
      </c>
      <c r="W254" s="172">
        <v>0</v>
      </c>
      <c r="X254" s="172">
        <f t="shared" si="35"/>
        <v>3393.7</v>
      </c>
      <c r="Y254" s="173">
        <v>0</v>
      </c>
      <c r="Z254" s="172">
        <f t="shared" si="36"/>
        <v>3393.7</v>
      </c>
    </row>
    <row r="255" spans="1:26" ht="12.75" hidden="1" outlineLevel="1">
      <c r="A255" s="172" t="s">
        <v>2602</v>
      </c>
      <c r="C255" s="173" t="s">
        <v>2603</v>
      </c>
      <c r="D255" s="173" t="s">
        <v>2604</v>
      </c>
      <c r="E255" s="172">
        <v>0</v>
      </c>
      <c r="F255" s="172">
        <v>19335</v>
      </c>
      <c r="G255" s="221">
        <f t="shared" si="30"/>
        <v>19335</v>
      </c>
      <c r="H255" s="222">
        <v>2600</v>
      </c>
      <c r="I255" s="222">
        <v>0</v>
      </c>
      <c r="J255" s="222">
        <v>0</v>
      </c>
      <c r="K255" s="222">
        <v>0</v>
      </c>
      <c r="L255" s="222">
        <f t="shared" si="31"/>
        <v>0</v>
      </c>
      <c r="M255" s="222">
        <v>0</v>
      </c>
      <c r="N255" s="222">
        <v>0</v>
      </c>
      <c r="O255" s="222">
        <v>0</v>
      </c>
      <c r="P255" s="222">
        <f t="shared" si="32"/>
        <v>0</v>
      </c>
      <c r="Q255" s="221">
        <v>0</v>
      </c>
      <c r="R255" s="221">
        <v>0</v>
      </c>
      <c r="S255" s="221">
        <v>0</v>
      </c>
      <c r="T255" s="221">
        <v>0</v>
      </c>
      <c r="U255" s="221">
        <f t="shared" si="33"/>
        <v>0</v>
      </c>
      <c r="V255" s="221">
        <f t="shared" si="34"/>
        <v>21935</v>
      </c>
      <c r="W255" s="172">
        <v>0</v>
      </c>
      <c r="X255" s="172">
        <f t="shared" si="35"/>
        <v>21935</v>
      </c>
      <c r="Y255" s="173">
        <v>0</v>
      </c>
      <c r="Z255" s="172">
        <f t="shared" si="36"/>
        <v>21935</v>
      </c>
    </row>
    <row r="256" spans="1:26" ht="12.75" hidden="1" outlineLevel="1">
      <c r="A256" s="172" t="s">
        <v>2605</v>
      </c>
      <c r="C256" s="173" t="s">
        <v>2606</v>
      </c>
      <c r="D256" s="173" t="s">
        <v>2607</v>
      </c>
      <c r="E256" s="172">
        <v>0</v>
      </c>
      <c r="F256" s="172">
        <v>652802.85</v>
      </c>
      <c r="G256" s="221">
        <f aca="true" t="shared" si="37" ref="G256:G307">E256+F256</f>
        <v>652802.85</v>
      </c>
      <c r="H256" s="222">
        <v>18067.22</v>
      </c>
      <c r="I256" s="222">
        <v>0</v>
      </c>
      <c r="J256" s="222">
        <v>0</v>
      </c>
      <c r="K256" s="222">
        <v>0</v>
      </c>
      <c r="L256" s="222">
        <f aca="true" t="shared" si="38" ref="L256:L307">J256+I256+K256</f>
        <v>0</v>
      </c>
      <c r="M256" s="222">
        <v>0</v>
      </c>
      <c r="N256" s="222">
        <v>0</v>
      </c>
      <c r="O256" s="222">
        <v>0</v>
      </c>
      <c r="P256" s="222">
        <f aca="true" t="shared" si="39" ref="P256:P307">M256+N256+O256</f>
        <v>0</v>
      </c>
      <c r="Q256" s="221">
        <v>0</v>
      </c>
      <c r="R256" s="221">
        <v>0</v>
      </c>
      <c r="S256" s="221">
        <v>0</v>
      </c>
      <c r="T256" s="221">
        <v>0</v>
      </c>
      <c r="U256" s="221">
        <f aca="true" t="shared" si="40" ref="U256:U307">Q256+R256+S256+T256</f>
        <v>0</v>
      </c>
      <c r="V256" s="221">
        <f aca="true" t="shared" si="41" ref="V256:V307">G256+H256+L256+P256+U256</f>
        <v>670870.07</v>
      </c>
      <c r="W256" s="172">
        <v>0</v>
      </c>
      <c r="X256" s="172">
        <f aca="true" t="shared" si="42" ref="X256:X307">V256+W256</f>
        <v>670870.07</v>
      </c>
      <c r="Y256" s="173">
        <v>0</v>
      </c>
      <c r="Z256" s="172">
        <f aca="true" t="shared" si="43" ref="Z256:Z307">X256+Y256</f>
        <v>670870.07</v>
      </c>
    </row>
    <row r="257" spans="1:26" ht="12.75" hidden="1" outlineLevel="1">
      <c r="A257" s="172" t="s">
        <v>2608</v>
      </c>
      <c r="C257" s="173" t="s">
        <v>2609</v>
      </c>
      <c r="D257" s="173" t="s">
        <v>2610</v>
      </c>
      <c r="E257" s="172">
        <v>0</v>
      </c>
      <c r="F257" s="172">
        <v>0</v>
      </c>
      <c r="G257" s="221">
        <f t="shared" si="37"/>
        <v>0</v>
      </c>
      <c r="H257" s="222">
        <v>59581.91</v>
      </c>
      <c r="I257" s="222">
        <v>0</v>
      </c>
      <c r="J257" s="222">
        <v>0</v>
      </c>
      <c r="K257" s="222">
        <v>0</v>
      </c>
      <c r="L257" s="222">
        <f t="shared" si="38"/>
        <v>0</v>
      </c>
      <c r="M257" s="222">
        <v>0</v>
      </c>
      <c r="N257" s="222">
        <v>0</v>
      </c>
      <c r="O257" s="222">
        <v>0</v>
      </c>
      <c r="P257" s="222">
        <f t="shared" si="39"/>
        <v>0</v>
      </c>
      <c r="Q257" s="221">
        <v>0</v>
      </c>
      <c r="R257" s="221">
        <v>0</v>
      </c>
      <c r="S257" s="221">
        <v>0</v>
      </c>
      <c r="T257" s="221">
        <v>0</v>
      </c>
      <c r="U257" s="221">
        <f t="shared" si="40"/>
        <v>0</v>
      </c>
      <c r="V257" s="221">
        <f t="shared" si="41"/>
        <v>59581.91</v>
      </c>
      <c r="W257" s="172">
        <v>0</v>
      </c>
      <c r="X257" s="172">
        <f t="shared" si="42"/>
        <v>59581.91</v>
      </c>
      <c r="Y257" s="173">
        <v>0</v>
      </c>
      <c r="Z257" s="172">
        <f t="shared" si="43"/>
        <v>59581.91</v>
      </c>
    </row>
    <row r="258" spans="1:26" ht="12.75" hidden="1" outlineLevel="1">
      <c r="A258" s="172" t="s">
        <v>2611</v>
      </c>
      <c r="C258" s="173" t="s">
        <v>2612</v>
      </c>
      <c r="D258" s="173" t="s">
        <v>2613</v>
      </c>
      <c r="E258" s="172">
        <v>0</v>
      </c>
      <c r="F258" s="172">
        <v>10381.5</v>
      </c>
      <c r="G258" s="221">
        <f t="shared" si="37"/>
        <v>10381.5</v>
      </c>
      <c r="H258" s="222">
        <v>0</v>
      </c>
      <c r="I258" s="222">
        <v>0</v>
      </c>
      <c r="J258" s="222">
        <v>0</v>
      </c>
      <c r="K258" s="222">
        <v>0</v>
      </c>
      <c r="L258" s="222">
        <f t="shared" si="38"/>
        <v>0</v>
      </c>
      <c r="M258" s="222">
        <v>0</v>
      </c>
      <c r="N258" s="222">
        <v>0</v>
      </c>
      <c r="O258" s="222">
        <v>0</v>
      </c>
      <c r="P258" s="222">
        <f t="shared" si="39"/>
        <v>0</v>
      </c>
      <c r="Q258" s="221">
        <v>0</v>
      </c>
      <c r="R258" s="221">
        <v>0</v>
      </c>
      <c r="S258" s="221">
        <v>0</v>
      </c>
      <c r="T258" s="221">
        <v>0</v>
      </c>
      <c r="U258" s="221">
        <f t="shared" si="40"/>
        <v>0</v>
      </c>
      <c r="V258" s="221">
        <f t="shared" si="41"/>
        <v>10381.5</v>
      </c>
      <c r="W258" s="172">
        <v>0</v>
      </c>
      <c r="X258" s="172">
        <f t="shared" si="42"/>
        <v>10381.5</v>
      </c>
      <c r="Y258" s="173">
        <v>0</v>
      </c>
      <c r="Z258" s="172">
        <f t="shared" si="43"/>
        <v>10381.5</v>
      </c>
    </row>
    <row r="259" spans="1:26" ht="12.75" hidden="1" outlineLevel="1">
      <c r="A259" s="172" t="s">
        <v>2614</v>
      </c>
      <c r="C259" s="173" t="s">
        <v>2615</v>
      </c>
      <c r="D259" s="173" t="s">
        <v>2616</v>
      </c>
      <c r="E259" s="172">
        <v>0</v>
      </c>
      <c r="F259" s="172">
        <v>127432.48</v>
      </c>
      <c r="G259" s="221">
        <f t="shared" si="37"/>
        <v>127432.48</v>
      </c>
      <c r="H259" s="222">
        <v>0</v>
      </c>
      <c r="I259" s="222">
        <v>0</v>
      </c>
      <c r="J259" s="222">
        <v>0</v>
      </c>
      <c r="K259" s="222">
        <v>0</v>
      </c>
      <c r="L259" s="222">
        <f t="shared" si="38"/>
        <v>0</v>
      </c>
      <c r="M259" s="222">
        <v>0</v>
      </c>
      <c r="N259" s="222">
        <v>0</v>
      </c>
      <c r="O259" s="222">
        <v>0</v>
      </c>
      <c r="P259" s="222">
        <f t="shared" si="39"/>
        <v>0</v>
      </c>
      <c r="Q259" s="221">
        <v>7440.24</v>
      </c>
      <c r="R259" s="221">
        <v>0</v>
      </c>
      <c r="S259" s="221">
        <v>0</v>
      </c>
      <c r="T259" s="221">
        <v>0</v>
      </c>
      <c r="U259" s="221">
        <f t="shared" si="40"/>
        <v>7440.24</v>
      </c>
      <c r="V259" s="221">
        <f t="shared" si="41"/>
        <v>134872.72</v>
      </c>
      <c r="W259" s="172">
        <v>0</v>
      </c>
      <c r="X259" s="172">
        <f t="shared" si="42"/>
        <v>134872.72</v>
      </c>
      <c r="Y259" s="173">
        <v>0</v>
      </c>
      <c r="Z259" s="172">
        <f t="shared" si="43"/>
        <v>134872.72</v>
      </c>
    </row>
    <row r="260" spans="1:26" ht="12.75" hidden="1" outlineLevel="1">
      <c r="A260" s="172" t="s">
        <v>2617</v>
      </c>
      <c r="C260" s="173" t="s">
        <v>2618</v>
      </c>
      <c r="D260" s="173" t="s">
        <v>2619</v>
      </c>
      <c r="E260" s="172">
        <v>0</v>
      </c>
      <c r="F260" s="172">
        <v>168302</v>
      </c>
      <c r="G260" s="221">
        <f t="shared" si="37"/>
        <v>168302</v>
      </c>
      <c r="H260" s="222">
        <v>0</v>
      </c>
      <c r="I260" s="222">
        <v>0</v>
      </c>
      <c r="J260" s="222">
        <v>0</v>
      </c>
      <c r="K260" s="222">
        <v>0</v>
      </c>
      <c r="L260" s="222">
        <f t="shared" si="38"/>
        <v>0</v>
      </c>
      <c r="M260" s="222">
        <v>0</v>
      </c>
      <c r="N260" s="222">
        <v>0</v>
      </c>
      <c r="O260" s="222">
        <v>0</v>
      </c>
      <c r="P260" s="222">
        <f t="shared" si="39"/>
        <v>0</v>
      </c>
      <c r="Q260" s="221">
        <v>11277</v>
      </c>
      <c r="R260" s="221">
        <v>0</v>
      </c>
      <c r="S260" s="221">
        <v>0</v>
      </c>
      <c r="T260" s="221">
        <v>0</v>
      </c>
      <c r="U260" s="221">
        <f t="shared" si="40"/>
        <v>11277</v>
      </c>
      <c r="V260" s="221">
        <f t="shared" si="41"/>
        <v>179579</v>
      </c>
      <c r="W260" s="172">
        <v>0</v>
      </c>
      <c r="X260" s="172">
        <f t="shared" si="42"/>
        <v>179579</v>
      </c>
      <c r="Y260" s="173">
        <v>0</v>
      </c>
      <c r="Z260" s="172">
        <f t="shared" si="43"/>
        <v>179579</v>
      </c>
    </row>
    <row r="261" spans="1:26" ht="12.75" hidden="1" outlineLevel="1">
      <c r="A261" s="172" t="s">
        <v>2620</v>
      </c>
      <c r="C261" s="173" t="s">
        <v>2621</v>
      </c>
      <c r="D261" s="173" t="s">
        <v>2622</v>
      </c>
      <c r="E261" s="172">
        <v>0</v>
      </c>
      <c r="F261" s="172">
        <v>832557.37</v>
      </c>
      <c r="G261" s="221">
        <f t="shared" si="37"/>
        <v>832557.37</v>
      </c>
      <c r="H261" s="222">
        <v>29017</v>
      </c>
      <c r="I261" s="222">
        <v>0</v>
      </c>
      <c r="J261" s="222">
        <v>0</v>
      </c>
      <c r="K261" s="222">
        <v>0</v>
      </c>
      <c r="L261" s="222">
        <f t="shared" si="38"/>
        <v>0</v>
      </c>
      <c r="M261" s="222">
        <v>0</v>
      </c>
      <c r="N261" s="222">
        <v>0</v>
      </c>
      <c r="O261" s="222">
        <v>0</v>
      </c>
      <c r="P261" s="222">
        <f t="shared" si="39"/>
        <v>0</v>
      </c>
      <c r="Q261" s="221">
        <v>0</v>
      </c>
      <c r="R261" s="221">
        <v>0</v>
      </c>
      <c r="S261" s="221">
        <v>0</v>
      </c>
      <c r="T261" s="221">
        <v>0</v>
      </c>
      <c r="U261" s="221">
        <f t="shared" si="40"/>
        <v>0</v>
      </c>
      <c r="V261" s="221">
        <f t="shared" si="41"/>
        <v>861574.37</v>
      </c>
      <c r="W261" s="172">
        <v>0</v>
      </c>
      <c r="X261" s="172">
        <f t="shared" si="42"/>
        <v>861574.37</v>
      </c>
      <c r="Y261" s="173">
        <v>0</v>
      </c>
      <c r="Z261" s="172">
        <f t="shared" si="43"/>
        <v>861574.37</v>
      </c>
    </row>
    <row r="262" spans="1:26" ht="12.75" hidden="1" outlineLevel="1">
      <c r="A262" s="172" t="s">
        <v>2623</v>
      </c>
      <c r="C262" s="173" t="s">
        <v>2624</v>
      </c>
      <c r="D262" s="173" t="s">
        <v>2625</v>
      </c>
      <c r="E262" s="172">
        <v>0</v>
      </c>
      <c r="F262" s="172">
        <v>1518140.22</v>
      </c>
      <c r="G262" s="221">
        <f t="shared" si="37"/>
        <v>1518140.22</v>
      </c>
      <c r="H262" s="222">
        <v>0</v>
      </c>
      <c r="I262" s="222">
        <v>0</v>
      </c>
      <c r="J262" s="222">
        <v>0</v>
      </c>
      <c r="K262" s="222">
        <v>0</v>
      </c>
      <c r="L262" s="222">
        <f t="shared" si="38"/>
        <v>0</v>
      </c>
      <c r="M262" s="222">
        <v>0</v>
      </c>
      <c r="N262" s="222">
        <v>0</v>
      </c>
      <c r="O262" s="222">
        <v>0</v>
      </c>
      <c r="P262" s="222">
        <f t="shared" si="39"/>
        <v>0</v>
      </c>
      <c r="Q262" s="221">
        <v>457020.15</v>
      </c>
      <c r="R262" s="221">
        <v>0</v>
      </c>
      <c r="S262" s="221">
        <v>0</v>
      </c>
      <c r="T262" s="221">
        <v>0</v>
      </c>
      <c r="U262" s="221">
        <f t="shared" si="40"/>
        <v>457020.15</v>
      </c>
      <c r="V262" s="221">
        <f t="shared" si="41"/>
        <v>1975160.37</v>
      </c>
      <c r="W262" s="172">
        <v>0</v>
      </c>
      <c r="X262" s="172">
        <f t="shared" si="42"/>
        <v>1975160.37</v>
      </c>
      <c r="Y262" s="173">
        <v>0</v>
      </c>
      <c r="Z262" s="172">
        <f t="shared" si="43"/>
        <v>1975160.37</v>
      </c>
    </row>
    <row r="263" spans="1:26" ht="12.75" hidden="1" outlineLevel="1">
      <c r="A263" s="172" t="s">
        <v>2626</v>
      </c>
      <c r="C263" s="173" t="s">
        <v>2627</v>
      </c>
      <c r="D263" s="173" t="s">
        <v>2628</v>
      </c>
      <c r="E263" s="172">
        <v>0</v>
      </c>
      <c r="F263" s="172">
        <v>267514.6</v>
      </c>
      <c r="G263" s="221">
        <f t="shared" si="37"/>
        <v>267514.6</v>
      </c>
      <c r="H263" s="222">
        <v>26099.47</v>
      </c>
      <c r="I263" s="222">
        <v>0</v>
      </c>
      <c r="J263" s="222">
        <v>0</v>
      </c>
      <c r="K263" s="222">
        <v>0</v>
      </c>
      <c r="L263" s="222">
        <f t="shared" si="38"/>
        <v>0</v>
      </c>
      <c r="M263" s="222">
        <v>0</v>
      </c>
      <c r="N263" s="222">
        <v>0</v>
      </c>
      <c r="O263" s="222">
        <v>0</v>
      </c>
      <c r="P263" s="222">
        <f t="shared" si="39"/>
        <v>0</v>
      </c>
      <c r="Q263" s="221">
        <v>726567.7</v>
      </c>
      <c r="R263" s="221">
        <v>0</v>
      </c>
      <c r="S263" s="221">
        <v>0</v>
      </c>
      <c r="T263" s="221">
        <v>0</v>
      </c>
      <c r="U263" s="221">
        <f t="shared" si="40"/>
        <v>726567.7</v>
      </c>
      <c r="V263" s="221">
        <f t="shared" si="41"/>
        <v>1020181.7699999999</v>
      </c>
      <c r="W263" s="172">
        <v>0</v>
      </c>
      <c r="X263" s="172">
        <f t="shared" si="42"/>
        <v>1020181.7699999999</v>
      </c>
      <c r="Y263" s="173">
        <v>0</v>
      </c>
      <c r="Z263" s="172">
        <f t="shared" si="43"/>
        <v>1020181.7699999999</v>
      </c>
    </row>
    <row r="264" spans="1:26" ht="12.75" hidden="1" outlineLevel="1">
      <c r="A264" s="172" t="s">
        <v>2629</v>
      </c>
      <c r="C264" s="173" t="s">
        <v>2630</v>
      </c>
      <c r="D264" s="173" t="s">
        <v>2631</v>
      </c>
      <c r="E264" s="172">
        <v>0</v>
      </c>
      <c r="F264" s="172">
        <v>44327.14</v>
      </c>
      <c r="G264" s="221">
        <f t="shared" si="37"/>
        <v>44327.14</v>
      </c>
      <c r="H264" s="222">
        <v>0</v>
      </c>
      <c r="I264" s="222">
        <v>0</v>
      </c>
      <c r="J264" s="222">
        <v>0</v>
      </c>
      <c r="K264" s="222">
        <v>0</v>
      </c>
      <c r="L264" s="222">
        <f t="shared" si="38"/>
        <v>0</v>
      </c>
      <c r="M264" s="222">
        <v>0</v>
      </c>
      <c r="N264" s="222">
        <v>0</v>
      </c>
      <c r="O264" s="222">
        <v>0</v>
      </c>
      <c r="P264" s="222">
        <f t="shared" si="39"/>
        <v>0</v>
      </c>
      <c r="Q264" s="221">
        <v>41158.44</v>
      </c>
      <c r="R264" s="221">
        <v>0</v>
      </c>
      <c r="S264" s="221">
        <v>0</v>
      </c>
      <c r="T264" s="221">
        <v>0</v>
      </c>
      <c r="U264" s="221">
        <f t="shared" si="40"/>
        <v>41158.44</v>
      </c>
      <c r="V264" s="221">
        <f t="shared" si="41"/>
        <v>85485.58</v>
      </c>
      <c r="W264" s="172">
        <v>0</v>
      </c>
      <c r="X264" s="172">
        <f t="shared" si="42"/>
        <v>85485.58</v>
      </c>
      <c r="Y264" s="173">
        <v>0</v>
      </c>
      <c r="Z264" s="172">
        <f t="shared" si="43"/>
        <v>85485.58</v>
      </c>
    </row>
    <row r="265" spans="1:26" ht="12.75" hidden="1" outlineLevel="1">
      <c r="A265" s="172" t="s">
        <v>2632</v>
      </c>
      <c r="C265" s="173" t="s">
        <v>2633</v>
      </c>
      <c r="D265" s="173" t="s">
        <v>2634</v>
      </c>
      <c r="E265" s="172">
        <v>0</v>
      </c>
      <c r="F265" s="172">
        <v>2116389.19</v>
      </c>
      <c r="G265" s="221">
        <f t="shared" si="37"/>
        <v>2116389.19</v>
      </c>
      <c r="H265" s="222">
        <v>23720.95</v>
      </c>
      <c r="I265" s="222">
        <v>0</v>
      </c>
      <c r="J265" s="222">
        <v>0</v>
      </c>
      <c r="K265" s="222">
        <v>0</v>
      </c>
      <c r="L265" s="222">
        <f t="shared" si="38"/>
        <v>0</v>
      </c>
      <c r="M265" s="222">
        <v>0</v>
      </c>
      <c r="N265" s="222">
        <v>0</v>
      </c>
      <c r="O265" s="222">
        <v>0</v>
      </c>
      <c r="P265" s="222">
        <f t="shared" si="39"/>
        <v>0</v>
      </c>
      <c r="Q265" s="221">
        <v>0</v>
      </c>
      <c r="R265" s="221">
        <v>0</v>
      </c>
      <c r="S265" s="221">
        <v>0</v>
      </c>
      <c r="T265" s="221">
        <v>0</v>
      </c>
      <c r="U265" s="221">
        <f t="shared" si="40"/>
        <v>0</v>
      </c>
      <c r="V265" s="221">
        <f t="shared" si="41"/>
        <v>2140110.14</v>
      </c>
      <c r="W265" s="172">
        <v>0</v>
      </c>
      <c r="X265" s="172">
        <f t="shared" si="42"/>
        <v>2140110.14</v>
      </c>
      <c r="Y265" s="173">
        <v>0</v>
      </c>
      <c r="Z265" s="172">
        <f t="shared" si="43"/>
        <v>2140110.14</v>
      </c>
    </row>
    <row r="266" spans="1:26" ht="12.75" hidden="1" outlineLevel="1">
      <c r="A266" s="172" t="s">
        <v>2635</v>
      </c>
      <c r="C266" s="173" t="s">
        <v>2636</v>
      </c>
      <c r="D266" s="173" t="s">
        <v>2637</v>
      </c>
      <c r="E266" s="172">
        <v>0</v>
      </c>
      <c r="F266" s="172">
        <v>126487.18</v>
      </c>
      <c r="G266" s="221">
        <f t="shared" si="37"/>
        <v>126487.18</v>
      </c>
      <c r="H266" s="222">
        <v>0</v>
      </c>
      <c r="I266" s="222">
        <v>0</v>
      </c>
      <c r="J266" s="222">
        <v>0</v>
      </c>
      <c r="K266" s="222">
        <v>0</v>
      </c>
      <c r="L266" s="222">
        <f t="shared" si="38"/>
        <v>0</v>
      </c>
      <c r="M266" s="222">
        <v>0</v>
      </c>
      <c r="N266" s="222">
        <v>0</v>
      </c>
      <c r="O266" s="222">
        <v>0</v>
      </c>
      <c r="P266" s="222">
        <f t="shared" si="39"/>
        <v>0</v>
      </c>
      <c r="Q266" s="221">
        <v>0</v>
      </c>
      <c r="R266" s="221">
        <v>0</v>
      </c>
      <c r="S266" s="221">
        <v>0</v>
      </c>
      <c r="T266" s="221">
        <v>0</v>
      </c>
      <c r="U266" s="221">
        <f t="shared" si="40"/>
        <v>0</v>
      </c>
      <c r="V266" s="221">
        <f t="shared" si="41"/>
        <v>126487.18</v>
      </c>
      <c r="W266" s="172">
        <v>0</v>
      </c>
      <c r="X266" s="172">
        <f t="shared" si="42"/>
        <v>126487.18</v>
      </c>
      <c r="Y266" s="173">
        <v>0</v>
      </c>
      <c r="Z266" s="172">
        <f t="shared" si="43"/>
        <v>126487.18</v>
      </c>
    </row>
    <row r="267" spans="1:26" ht="12.75" hidden="1" outlineLevel="1">
      <c r="A267" s="172" t="s">
        <v>2638</v>
      </c>
      <c r="C267" s="173" t="s">
        <v>2639</v>
      </c>
      <c r="D267" s="173" t="s">
        <v>2640</v>
      </c>
      <c r="E267" s="172">
        <v>0</v>
      </c>
      <c r="F267" s="172">
        <v>111479.38</v>
      </c>
      <c r="G267" s="221">
        <f t="shared" si="37"/>
        <v>111479.38</v>
      </c>
      <c r="H267" s="222">
        <v>0</v>
      </c>
      <c r="I267" s="222">
        <v>0</v>
      </c>
      <c r="J267" s="222">
        <v>0</v>
      </c>
      <c r="K267" s="222">
        <v>0</v>
      </c>
      <c r="L267" s="222">
        <f t="shared" si="38"/>
        <v>0</v>
      </c>
      <c r="M267" s="222">
        <v>0</v>
      </c>
      <c r="N267" s="222">
        <v>0</v>
      </c>
      <c r="O267" s="222">
        <v>0</v>
      </c>
      <c r="P267" s="222">
        <f t="shared" si="39"/>
        <v>0</v>
      </c>
      <c r="Q267" s="221">
        <v>0</v>
      </c>
      <c r="R267" s="221">
        <v>0</v>
      </c>
      <c r="S267" s="221">
        <v>0</v>
      </c>
      <c r="T267" s="221">
        <v>0</v>
      </c>
      <c r="U267" s="221">
        <f t="shared" si="40"/>
        <v>0</v>
      </c>
      <c r="V267" s="221">
        <f t="shared" si="41"/>
        <v>111479.38</v>
      </c>
      <c r="W267" s="172">
        <v>0</v>
      </c>
      <c r="X267" s="172">
        <f t="shared" si="42"/>
        <v>111479.38</v>
      </c>
      <c r="Y267" s="173">
        <v>0</v>
      </c>
      <c r="Z267" s="172">
        <f t="shared" si="43"/>
        <v>111479.38</v>
      </c>
    </row>
    <row r="268" spans="1:26" ht="12.75" hidden="1" outlineLevel="1">
      <c r="A268" s="172" t="s">
        <v>2641</v>
      </c>
      <c r="C268" s="173" t="s">
        <v>2642</v>
      </c>
      <c r="D268" s="173" t="s">
        <v>2643</v>
      </c>
      <c r="E268" s="172">
        <v>0</v>
      </c>
      <c r="F268" s="172">
        <v>964285.57</v>
      </c>
      <c r="G268" s="221">
        <f t="shared" si="37"/>
        <v>964285.57</v>
      </c>
      <c r="H268" s="222">
        <v>0</v>
      </c>
      <c r="I268" s="222">
        <v>0</v>
      </c>
      <c r="J268" s="222">
        <v>0</v>
      </c>
      <c r="K268" s="222">
        <v>0</v>
      </c>
      <c r="L268" s="222">
        <f t="shared" si="38"/>
        <v>0</v>
      </c>
      <c r="M268" s="222">
        <v>0</v>
      </c>
      <c r="N268" s="222">
        <v>0</v>
      </c>
      <c r="O268" s="222">
        <v>0</v>
      </c>
      <c r="P268" s="222">
        <f t="shared" si="39"/>
        <v>0</v>
      </c>
      <c r="Q268" s="221">
        <v>0</v>
      </c>
      <c r="R268" s="221">
        <v>0</v>
      </c>
      <c r="S268" s="221">
        <v>0</v>
      </c>
      <c r="T268" s="221">
        <v>0</v>
      </c>
      <c r="U268" s="221">
        <f t="shared" si="40"/>
        <v>0</v>
      </c>
      <c r="V268" s="221">
        <f t="shared" si="41"/>
        <v>964285.57</v>
      </c>
      <c r="W268" s="172">
        <v>0</v>
      </c>
      <c r="X268" s="172">
        <f t="shared" si="42"/>
        <v>964285.57</v>
      </c>
      <c r="Y268" s="173">
        <v>0</v>
      </c>
      <c r="Z268" s="172">
        <f t="shared" si="43"/>
        <v>964285.57</v>
      </c>
    </row>
    <row r="269" spans="1:26" ht="12.75" hidden="1" outlineLevel="1">
      <c r="A269" s="172" t="s">
        <v>2644</v>
      </c>
      <c r="C269" s="173" t="s">
        <v>2645</v>
      </c>
      <c r="D269" s="173" t="s">
        <v>2646</v>
      </c>
      <c r="E269" s="172">
        <v>0</v>
      </c>
      <c r="F269" s="172">
        <v>29780.68</v>
      </c>
      <c r="G269" s="221">
        <f t="shared" si="37"/>
        <v>29780.68</v>
      </c>
      <c r="H269" s="222">
        <v>0</v>
      </c>
      <c r="I269" s="222">
        <v>0</v>
      </c>
      <c r="J269" s="222">
        <v>0</v>
      </c>
      <c r="K269" s="222">
        <v>0</v>
      </c>
      <c r="L269" s="222">
        <f t="shared" si="38"/>
        <v>0</v>
      </c>
      <c r="M269" s="222">
        <v>0</v>
      </c>
      <c r="N269" s="222">
        <v>0</v>
      </c>
      <c r="O269" s="222">
        <v>0</v>
      </c>
      <c r="P269" s="222">
        <f t="shared" si="39"/>
        <v>0</v>
      </c>
      <c r="Q269" s="221">
        <v>0</v>
      </c>
      <c r="R269" s="221">
        <v>0</v>
      </c>
      <c r="S269" s="221">
        <v>0</v>
      </c>
      <c r="T269" s="221">
        <v>0</v>
      </c>
      <c r="U269" s="221">
        <f t="shared" si="40"/>
        <v>0</v>
      </c>
      <c r="V269" s="221">
        <f t="shared" si="41"/>
        <v>29780.68</v>
      </c>
      <c r="W269" s="172">
        <v>0</v>
      </c>
      <c r="X269" s="172">
        <f t="shared" si="42"/>
        <v>29780.68</v>
      </c>
      <c r="Y269" s="173">
        <v>0</v>
      </c>
      <c r="Z269" s="172">
        <f t="shared" si="43"/>
        <v>29780.68</v>
      </c>
    </row>
    <row r="270" spans="1:26" ht="12.75" hidden="1" outlineLevel="1">
      <c r="A270" s="172" t="s">
        <v>2647</v>
      </c>
      <c r="C270" s="173" t="s">
        <v>2648</v>
      </c>
      <c r="D270" s="173" t="s">
        <v>2649</v>
      </c>
      <c r="E270" s="172">
        <v>0</v>
      </c>
      <c r="F270" s="172">
        <v>0</v>
      </c>
      <c r="G270" s="221">
        <f t="shared" si="37"/>
        <v>0</v>
      </c>
      <c r="H270" s="222">
        <v>0</v>
      </c>
      <c r="I270" s="222">
        <v>0</v>
      </c>
      <c r="J270" s="222">
        <v>0</v>
      </c>
      <c r="K270" s="222">
        <v>0</v>
      </c>
      <c r="L270" s="222">
        <f t="shared" si="38"/>
        <v>0</v>
      </c>
      <c r="M270" s="222">
        <v>0</v>
      </c>
      <c r="N270" s="222">
        <v>0</v>
      </c>
      <c r="O270" s="222">
        <v>0</v>
      </c>
      <c r="P270" s="222">
        <f t="shared" si="39"/>
        <v>0</v>
      </c>
      <c r="Q270" s="221">
        <v>0</v>
      </c>
      <c r="R270" s="221">
        <v>0</v>
      </c>
      <c r="S270" s="221">
        <v>0</v>
      </c>
      <c r="T270" s="221">
        <v>1700894.27</v>
      </c>
      <c r="U270" s="221">
        <f t="shared" si="40"/>
        <v>1700894.27</v>
      </c>
      <c r="V270" s="221">
        <f t="shared" si="41"/>
        <v>1700894.27</v>
      </c>
      <c r="W270" s="172">
        <v>0</v>
      </c>
      <c r="X270" s="172">
        <f t="shared" si="42"/>
        <v>1700894.27</v>
      </c>
      <c r="Y270" s="173">
        <v>0</v>
      </c>
      <c r="Z270" s="172">
        <f t="shared" si="43"/>
        <v>1700894.27</v>
      </c>
    </row>
    <row r="271" spans="1:26" ht="12.75" hidden="1" outlineLevel="1">
      <c r="A271" s="172" t="s">
        <v>2650</v>
      </c>
      <c r="C271" s="173" t="s">
        <v>2651</v>
      </c>
      <c r="D271" s="173" t="s">
        <v>2652</v>
      </c>
      <c r="E271" s="172">
        <v>0</v>
      </c>
      <c r="F271" s="172">
        <v>207.65999999991618</v>
      </c>
      <c r="G271" s="221">
        <f t="shared" si="37"/>
        <v>207.65999999991618</v>
      </c>
      <c r="H271" s="222">
        <v>0</v>
      </c>
      <c r="I271" s="222">
        <v>0</v>
      </c>
      <c r="J271" s="222">
        <v>0</v>
      </c>
      <c r="K271" s="222">
        <v>0</v>
      </c>
      <c r="L271" s="222">
        <f t="shared" si="38"/>
        <v>0</v>
      </c>
      <c r="M271" s="222">
        <v>0</v>
      </c>
      <c r="N271" s="222">
        <v>0</v>
      </c>
      <c r="O271" s="222">
        <v>0</v>
      </c>
      <c r="P271" s="222">
        <f t="shared" si="39"/>
        <v>0</v>
      </c>
      <c r="Q271" s="221">
        <v>0</v>
      </c>
      <c r="R271" s="221">
        <v>0</v>
      </c>
      <c r="S271" s="221">
        <v>0</v>
      </c>
      <c r="T271" s="221">
        <v>0</v>
      </c>
      <c r="U271" s="221">
        <f t="shared" si="40"/>
        <v>0</v>
      </c>
      <c r="V271" s="221">
        <f t="shared" si="41"/>
        <v>207.65999999991618</v>
      </c>
      <c r="W271" s="172">
        <v>0</v>
      </c>
      <c r="X271" s="172">
        <f t="shared" si="42"/>
        <v>207.65999999991618</v>
      </c>
      <c r="Y271" s="173">
        <v>0</v>
      </c>
      <c r="Z271" s="172">
        <f t="shared" si="43"/>
        <v>207.65999999991618</v>
      </c>
    </row>
    <row r="272" spans="1:26" ht="12.75" hidden="1" outlineLevel="1">
      <c r="A272" s="172" t="s">
        <v>2653</v>
      </c>
      <c r="C272" s="173" t="s">
        <v>2654</v>
      </c>
      <c r="D272" s="173" t="s">
        <v>2655</v>
      </c>
      <c r="E272" s="172">
        <v>0</v>
      </c>
      <c r="F272" s="172">
        <v>72714.22</v>
      </c>
      <c r="G272" s="221">
        <f t="shared" si="37"/>
        <v>72714.22</v>
      </c>
      <c r="H272" s="222">
        <v>0</v>
      </c>
      <c r="I272" s="222">
        <v>0</v>
      </c>
      <c r="J272" s="222">
        <v>0</v>
      </c>
      <c r="K272" s="222">
        <v>0</v>
      </c>
      <c r="L272" s="222">
        <f t="shared" si="38"/>
        <v>0</v>
      </c>
      <c r="M272" s="222">
        <v>0</v>
      </c>
      <c r="N272" s="222">
        <v>0</v>
      </c>
      <c r="O272" s="222">
        <v>0</v>
      </c>
      <c r="P272" s="222">
        <f t="shared" si="39"/>
        <v>0</v>
      </c>
      <c r="Q272" s="221">
        <v>0</v>
      </c>
      <c r="R272" s="221">
        <v>0</v>
      </c>
      <c r="S272" s="221">
        <v>0</v>
      </c>
      <c r="T272" s="221">
        <v>0</v>
      </c>
      <c r="U272" s="221">
        <f t="shared" si="40"/>
        <v>0</v>
      </c>
      <c r="V272" s="221">
        <f t="shared" si="41"/>
        <v>72714.22</v>
      </c>
      <c r="W272" s="172">
        <v>0</v>
      </c>
      <c r="X272" s="172">
        <f t="shared" si="42"/>
        <v>72714.22</v>
      </c>
      <c r="Y272" s="173">
        <v>0</v>
      </c>
      <c r="Z272" s="172">
        <f t="shared" si="43"/>
        <v>72714.22</v>
      </c>
    </row>
    <row r="273" spans="1:26" ht="12.75" hidden="1" outlineLevel="1">
      <c r="A273" s="172" t="s">
        <v>2656</v>
      </c>
      <c r="C273" s="173" t="s">
        <v>2657</v>
      </c>
      <c r="D273" s="173" t="s">
        <v>2658</v>
      </c>
      <c r="E273" s="172">
        <v>0</v>
      </c>
      <c r="F273" s="172">
        <v>0</v>
      </c>
      <c r="G273" s="221">
        <f t="shared" si="37"/>
        <v>0</v>
      </c>
      <c r="H273" s="222">
        <v>0</v>
      </c>
      <c r="I273" s="222">
        <v>-114</v>
      </c>
      <c r="J273" s="222">
        <v>0</v>
      </c>
      <c r="K273" s="222">
        <v>-263</v>
      </c>
      <c r="L273" s="222">
        <f t="shared" si="38"/>
        <v>-377</v>
      </c>
      <c r="M273" s="222">
        <v>0</v>
      </c>
      <c r="N273" s="222">
        <v>0</v>
      </c>
      <c r="O273" s="222">
        <v>0</v>
      </c>
      <c r="P273" s="222">
        <f t="shared" si="39"/>
        <v>0</v>
      </c>
      <c r="Q273" s="221">
        <v>0</v>
      </c>
      <c r="R273" s="221">
        <v>0</v>
      </c>
      <c r="S273" s="221">
        <v>0</v>
      </c>
      <c r="T273" s="221">
        <v>0</v>
      </c>
      <c r="U273" s="221">
        <f t="shared" si="40"/>
        <v>0</v>
      </c>
      <c r="V273" s="221">
        <f t="shared" si="41"/>
        <v>-377</v>
      </c>
      <c r="W273" s="172">
        <v>0</v>
      </c>
      <c r="X273" s="172">
        <f t="shared" si="42"/>
        <v>-377</v>
      </c>
      <c r="Y273" s="173">
        <v>0</v>
      </c>
      <c r="Z273" s="172">
        <f t="shared" si="43"/>
        <v>-377</v>
      </c>
    </row>
    <row r="274" spans="1:26" ht="12.75" hidden="1" outlineLevel="1">
      <c r="A274" s="172" t="s">
        <v>2659</v>
      </c>
      <c r="C274" s="173" t="s">
        <v>2660</v>
      </c>
      <c r="D274" s="173" t="s">
        <v>2661</v>
      </c>
      <c r="E274" s="172">
        <v>0</v>
      </c>
      <c r="F274" s="172">
        <v>0</v>
      </c>
      <c r="G274" s="221">
        <f t="shared" si="37"/>
        <v>0</v>
      </c>
      <c r="H274" s="222">
        <v>0</v>
      </c>
      <c r="I274" s="222">
        <v>0</v>
      </c>
      <c r="J274" s="222">
        <v>0</v>
      </c>
      <c r="K274" s="222">
        <v>18856.35</v>
      </c>
      <c r="L274" s="222">
        <f t="shared" si="38"/>
        <v>18856.35</v>
      </c>
      <c r="M274" s="222">
        <v>0</v>
      </c>
      <c r="N274" s="222">
        <v>0</v>
      </c>
      <c r="O274" s="222">
        <v>0</v>
      </c>
      <c r="P274" s="222">
        <f t="shared" si="39"/>
        <v>0</v>
      </c>
      <c r="Q274" s="221">
        <v>0</v>
      </c>
      <c r="R274" s="221">
        <v>0</v>
      </c>
      <c r="S274" s="221">
        <v>0</v>
      </c>
      <c r="T274" s="221">
        <v>0</v>
      </c>
      <c r="U274" s="221">
        <f t="shared" si="40"/>
        <v>0</v>
      </c>
      <c r="V274" s="221">
        <f t="shared" si="41"/>
        <v>18856.35</v>
      </c>
      <c r="W274" s="172">
        <v>0</v>
      </c>
      <c r="X274" s="172">
        <f t="shared" si="42"/>
        <v>18856.35</v>
      </c>
      <c r="Y274" s="173">
        <v>0</v>
      </c>
      <c r="Z274" s="172">
        <f t="shared" si="43"/>
        <v>18856.35</v>
      </c>
    </row>
    <row r="275" spans="1:26" ht="12.75" hidden="1" outlineLevel="1">
      <c r="A275" s="172" t="s">
        <v>2662</v>
      </c>
      <c r="C275" s="173" t="s">
        <v>2663</v>
      </c>
      <c r="D275" s="173" t="s">
        <v>2664</v>
      </c>
      <c r="E275" s="172">
        <v>0</v>
      </c>
      <c r="F275" s="172">
        <v>0</v>
      </c>
      <c r="G275" s="221">
        <f t="shared" si="37"/>
        <v>0</v>
      </c>
      <c r="H275" s="222">
        <v>0</v>
      </c>
      <c r="I275" s="222">
        <v>0</v>
      </c>
      <c r="J275" s="222">
        <v>0</v>
      </c>
      <c r="K275" s="222">
        <v>0</v>
      </c>
      <c r="L275" s="222">
        <f t="shared" si="38"/>
        <v>0</v>
      </c>
      <c r="M275" s="222">
        <v>0</v>
      </c>
      <c r="N275" s="222">
        <v>0</v>
      </c>
      <c r="O275" s="222">
        <v>0</v>
      </c>
      <c r="P275" s="222">
        <f t="shared" si="39"/>
        <v>0</v>
      </c>
      <c r="Q275" s="221">
        <v>0</v>
      </c>
      <c r="R275" s="221">
        <v>-3182377.77</v>
      </c>
      <c r="S275" s="221">
        <v>0</v>
      </c>
      <c r="T275" s="221">
        <v>3182377.77</v>
      </c>
      <c r="U275" s="221">
        <f t="shared" si="40"/>
        <v>0</v>
      </c>
      <c r="V275" s="221">
        <f t="shared" si="41"/>
        <v>0</v>
      </c>
      <c r="W275" s="172">
        <v>0</v>
      </c>
      <c r="X275" s="172">
        <f t="shared" si="42"/>
        <v>0</v>
      </c>
      <c r="Y275" s="173">
        <v>0</v>
      </c>
      <c r="Z275" s="172">
        <f t="shared" si="43"/>
        <v>0</v>
      </c>
    </row>
    <row r="276" spans="1:27" ht="12.75" collapsed="1">
      <c r="A276" s="213" t="s">
        <v>2665</v>
      </c>
      <c r="B276" s="214"/>
      <c r="C276" s="213" t="s">
        <v>2666</v>
      </c>
      <c r="D276" s="215"/>
      <c r="E276" s="190">
        <v>-2969</v>
      </c>
      <c r="F276" s="190">
        <v>36455780.760000005</v>
      </c>
      <c r="G276" s="102">
        <f t="shared" si="37"/>
        <v>36452811.760000005</v>
      </c>
      <c r="H276" s="102">
        <v>7342126.549999997</v>
      </c>
      <c r="I276" s="102">
        <v>411</v>
      </c>
      <c r="J276" s="102">
        <v>0</v>
      </c>
      <c r="K276" s="102">
        <v>18593.35</v>
      </c>
      <c r="L276" s="102">
        <f t="shared" si="38"/>
        <v>19004.35</v>
      </c>
      <c r="M276" s="102">
        <v>0</v>
      </c>
      <c r="N276" s="102">
        <v>0</v>
      </c>
      <c r="O276" s="102">
        <v>0</v>
      </c>
      <c r="P276" s="102">
        <f t="shared" si="39"/>
        <v>0</v>
      </c>
      <c r="Q276" s="102">
        <v>1546528.24</v>
      </c>
      <c r="R276" s="102">
        <v>-3177683.12</v>
      </c>
      <c r="S276" s="102">
        <v>0</v>
      </c>
      <c r="T276" s="102">
        <v>4883272.04</v>
      </c>
      <c r="U276" s="102">
        <f t="shared" si="40"/>
        <v>3252117.16</v>
      </c>
      <c r="V276" s="102">
        <f t="shared" si="41"/>
        <v>47066059.82000001</v>
      </c>
      <c r="W276" s="190">
        <v>0</v>
      </c>
      <c r="X276" s="190">
        <f t="shared" si="42"/>
        <v>47066059.82000001</v>
      </c>
      <c r="Y276" s="190">
        <v>51748531.7</v>
      </c>
      <c r="Z276" s="190">
        <f t="shared" si="43"/>
        <v>98814591.52000001</v>
      </c>
      <c r="AA276" s="213"/>
    </row>
    <row r="277" spans="1:26" ht="12.75" hidden="1" outlineLevel="1">
      <c r="A277" s="172" t="s">
        <v>2667</v>
      </c>
      <c r="C277" s="173" t="s">
        <v>2668</v>
      </c>
      <c r="D277" s="173" t="s">
        <v>2669</v>
      </c>
      <c r="E277" s="172">
        <v>0</v>
      </c>
      <c r="F277" s="172">
        <v>3836000</v>
      </c>
      <c r="G277" s="221">
        <f t="shared" si="37"/>
        <v>3836000</v>
      </c>
      <c r="H277" s="222">
        <v>0</v>
      </c>
      <c r="I277" s="222">
        <v>0</v>
      </c>
      <c r="J277" s="222">
        <v>0</v>
      </c>
      <c r="K277" s="222">
        <v>0</v>
      </c>
      <c r="L277" s="222">
        <f t="shared" si="38"/>
        <v>0</v>
      </c>
      <c r="M277" s="222">
        <v>0</v>
      </c>
      <c r="N277" s="222">
        <v>0</v>
      </c>
      <c r="O277" s="222">
        <v>0</v>
      </c>
      <c r="P277" s="222">
        <f t="shared" si="39"/>
        <v>0</v>
      </c>
      <c r="Q277" s="221">
        <v>0</v>
      </c>
      <c r="R277" s="221">
        <v>0</v>
      </c>
      <c r="S277" s="221">
        <v>0</v>
      </c>
      <c r="T277" s="221">
        <v>0</v>
      </c>
      <c r="U277" s="221">
        <f t="shared" si="40"/>
        <v>0</v>
      </c>
      <c r="V277" s="221">
        <f t="shared" si="41"/>
        <v>3836000</v>
      </c>
      <c r="W277" s="172">
        <v>0</v>
      </c>
      <c r="X277" s="172">
        <f t="shared" si="42"/>
        <v>3836000</v>
      </c>
      <c r="Y277" s="173">
        <v>0</v>
      </c>
      <c r="Z277" s="172">
        <f t="shared" si="43"/>
        <v>3836000</v>
      </c>
    </row>
    <row r="278" spans="1:27" ht="12.75" collapsed="1">
      <c r="A278" s="213" t="s">
        <v>2670</v>
      </c>
      <c r="B278" s="214"/>
      <c r="C278" s="213" t="s">
        <v>1561</v>
      </c>
      <c r="D278" s="215"/>
      <c r="E278" s="190">
        <v>0</v>
      </c>
      <c r="F278" s="190">
        <v>3836000</v>
      </c>
      <c r="G278" s="102">
        <f t="shared" si="37"/>
        <v>3836000</v>
      </c>
      <c r="H278" s="102">
        <v>0</v>
      </c>
      <c r="I278" s="102">
        <v>0</v>
      </c>
      <c r="J278" s="102">
        <v>0</v>
      </c>
      <c r="K278" s="102">
        <v>0</v>
      </c>
      <c r="L278" s="102">
        <f t="shared" si="38"/>
        <v>0</v>
      </c>
      <c r="M278" s="102">
        <v>0</v>
      </c>
      <c r="N278" s="102">
        <v>0</v>
      </c>
      <c r="O278" s="102">
        <v>0</v>
      </c>
      <c r="P278" s="102">
        <f t="shared" si="39"/>
        <v>0</v>
      </c>
      <c r="Q278" s="102">
        <v>0</v>
      </c>
      <c r="R278" s="102">
        <v>0</v>
      </c>
      <c r="S278" s="102">
        <v>0</v>
      </c>
      <c r="T278" s="102">
        <v>0</v>
      </c>
      <c r="U278" s="102">
        <f t="shared" si="40"/>
        <v>0</v>
      </c>
      <c r="V278" s="102">
        <f t="shared" si="41"/>
        <v>3836000</v>
      </c>
      <c r="W278" s="190">
        <v>0</v>
      </c>
      <c r="X278" s="190">
        <f t="shared" si="42"/>
        <v>3836000</v>
      </c>
      <c r="Y278" s="190">
        <v>0</v>
      </c>
      <c r="Z278" s="190">
        <f t="shared" si="43"/>
        <v>3836000</v>
      </c>
      <c r="AA278" s="213"/>
    </row>
    <row r="279" spans="1:26" ht="12.75" hidden="1" outlineLevel="1">
      <c r="A279" s="172" t="s">
        <v>2671</v>
      </c>
      <c r="C279" s="173" t="s">
        <v>2672</v>
      </c>
      <c r="D279" s="173" t="s">
        <v>2673</v>
      </c>
      <c r="E279" s="172">
        <v>0</v>
      </c>
      <c r="F279" s="172">
        <v>0</v>
      </c>
      <c r="G279" s="221">
        <f t="shared" si="37"/>
        <v>0</v>
      </c>
      <c r="H279" s="222">
        <v>0</v>
      </c>
      <c r="I279" s="222">
        <v>0</v>
      </c>
      <c r="J279" s="222">
        <v>0</v>
      </c>
      <c r="K279" s="222">
        <v>0</v>
      </c>
      <c r="L279" s="222">
        <f t="shared" si="38"/>
        <v>0</v>
      </c>
      <c r="M279" s="222">
        <v>0</v>
      </c>
      <c r="N279" s="222">
        <v>0</v>
      </c>
      <c r="O279" s="222">
        <v>0</v>
      </c>
      <c r="P279" s="222">
        <f t="shared" si="39"/>
        <v>0</v>
      </c>
      <c r="Q279" s="221">
        <v>0</v>
      </c>
      <c r="R279" s="221">
        <v>0</v>
      </c>
      <c r="S279" s="221">
        <v>0</v>
      </c>
      <c r="T279" s="221">
        <v>-1402997.47</v>
      </c>
      <c r="U279" s="221">
        <f t="shared" si="40"/>
        <v>-1402997.47</v>
      </c>
      <c r="V279" s="221">
        <f t="shared" si="41"/>
        <v>-1402997.47</v>
      </c>
      <c r="W279" s="172">
        <v>0</v>
      </c>
      <c r="X279" s="172">
        <f t="shared" si="42"/>
        <v>-1402997.47</v>
      </c>
      <c r="Y279" s="173">
        <v>0</v>
      </c>
      <c r="Z279" s="172">
        <f t="shared" si="43"/>
        <v>-1402997.47</v>
      </c>
    </row>
    <row r="280" spans="1:26" ht="12.75" hidden="1" outlineLevel="1">
      <c r="A280" s="172" t="s">
        <v>2674</v>
      </c>
      <c r="C280" s="173" t="s">
        <v>2675</v>
      </c>
      <c r="D280" s="173" t="s">
        <v>2676</v>
      </c>
      <c r="E280" s="172">
        <v>0</v>
      </c>
      <c r="F280" s="172">
        <v>0</v>
      </c>
      <c r="G280" s="221">
        <f t="shared" si="37"/>
        <v>0</v>
      </c>
      <c r="H280" s="222">
        <v>0</v>
      </c>
      <c r="I280" s="222">
        <v>0</v>
      </c>
      <c r="J280" s="222">
        <v>0</v>
      </c>
      <c r="K280" s="222">
        <v>0</v>
      </c>
      <c r="L280" s="222">
        <f t="shared" si="38"/>
        <v>0</v>
      </c>
      <c r="M280" s="222">
        <v>0</v>
      </c>
      <c r="N280" s="222">
        <v>0</v>
      </c>
      <c r="O280" s="222">
        <v>0</v>
      </c>
      <c r="P280" s="222">
        <f t="shared" si="39"/>
        <v>0</v>
      </c>
      <c r="Q280" s="221">
        <v>0</v>
      </c>
      <c r="R280" s="221">
        <v>0</v>
      </c>
      <c r="S280" s="221">
        <v>0</v>
      </c>
      <c r="T280" s="221">
        <v>-8349511.24</v>
      </c>
      <c r="U280" s="221">
        <f t="shared" si="40"/>
        <v>-8349511.24</v>
      </c>
      <c r="V280" s="221">
        <f t="shared" si="41"/>
        <v>-8349511.24</v>
      </c>
      <c r="W280" s="172">
        <v>0</v>
      </c>
      <c r="X280" s="172">
        <f t="shared" si="42"/>
        <v>-8349511.24</v>
      </c>
      <c r="Y280" s="173">
        <v>0</v>
      </c>
      <c r="Z280" s="172">
        <f t="shared" si="43"/>
        <v>-8349511.24</v>
      </c>
    </row>
    <row r="281" spans="1:26" ht="12.75" hidden="1" outlineLevel="1">
      <c r="A281" s="172" t="s">
        <v>2677</v>
      </c>
      <c r="C281" s="173" t="s">
        <v>2678</v>
      </c>
      <c r="D281" s="173" t="s">
        <v>2679</v>
      </c>
      <c r="E281" s="172">
        <v>0</v>
      </c>
      <c r="F281" s="172">
        <v>0</v>
      </c>
      <c r="G281" s="221">
        <f t="shared" si="37"/>
        <v>0</v>
      </c>
      <c r="H281" s="222">
        <v>0</v>
      </c>
      <c r="I281" s="222">
        <v>0</v>
      </c>
      <c r="J281" s="222">
        <v>0</v>
      </c>
      <c r="K281" s="222">
        <v>0</v>
      </c>
      <c r="L281" s="222">
        <f t="shared" si="38"/>
        <v>0</v>
      </c>
      <c r="M281" s="222">
        <v>0</v>
      </c>
      <c r="N281" s="222">
        <v>0</v>
      </c>
      <c r="O281" s="222">
        <v>0</v>
      </c>
      <c r="P281" s="222">
        <f t="shared" si="39"/>
        <v>0</v>
      </c>
      <c r="Q281" s="221">
        <v>0</v>
      </c>
      <c r="R281" s="221">
        <v>0</v>
      </c>
      <c r="S281" s="221">
        <v>0</v>
      </c>
      <c r="T281" s="221">
        <v>-178253.13</v>
      </c>
      <c r="U281" s="221">
        <f t="shared" si="40"/>
        <v>-178253.13</v>
      </c>
      <c r="V281" s="221">
        <f t="shared" si="41"/>
        <v>-178253.13</v>
      </c>
      <c r="W281" s="172">
        <v>0</v>
      </c>
      <c r="X281" s="172">
        <f t="shared" si="42"/>
        <v>-178253.13</v>
      </c>
      <c r="Y281" s="173">
        <v>0</v>
      </c>
      <c r="Z281" s="172">
        <f t="shared" si="43"/>
        <v>-178253.13</v>
      </c>
    </row>
    <row r="282" spans="1:26" ht="12.75" hidden="1" outlineLevel="1">
      <c r="A282" s="172" t="s">
        <v>2680</v>
      </c>
      <c r="C282" s="173" t="s">
        <v>2681</v>
      </c>
      <c r="D282" s="173" t="s">
        <v>2682</v>
      </c>
      <c r="E282" s="172">
        <v>0</v>
      </c>
      <c r="F282" s="172">
        <v>0</v>
      </c>
      <c r="G282" s="221">
        <f t="shared" si="37"/>
        <v>0</v>
      </c>
      <c r="H282" s="222">
        <v>0</v>
      </c>
      <c r="I282" s="222">
        <v>0</v>
      </c>
      <c r="J282" s="222">
        <v>0</v>
      </c>
      <c r="K282" s="222">
        <v>0</v>
      </c>
      <c r="L282" s="222">
        <f t="shared" si="38"/>
        <v>0</v>
      </c>
      <c r="M282" s="222">
        <v>0</v>
      </c>
      <c r="N282" s="222">
        <v>0</v>
      </c>
      <c r="O282" s="222">
        <v>0</v>
      </c>
      <c r="P282" s="222">
        <f t="shared" si="39"/>
        <v>0</v>
      </c>
      <c r="Q282" s="221">
        <v>0</v>
      </c>
      <c r="R282" s="221">
        <v>0</v>
      </c>
      <c r="S282" s="221">
        <v>0</v>
      </c>
      <c r="T282" s="221">
        <v>-1770388.7</v>
      </c>
      <c r="U282" s="221">
        <f t="shared" si="40"/>
        <v>-1770388.7</v>
      </c>
      <c r="V282" s="221">
        <f t="shared" si="41"/>
        <v>-1770388.7</v>
      </c>
      <c r="W282" s="172">
        <v>0</v>
      </c>
      <c r="X282" s="172">
        <f t="shared" si="42"/>
        <v>-1770388.7</v>
      </c>
      <c r="Y282" s="173">
        <v>0</v>
      </c>
      <c r="Z282" s="172">
        <f t="shared" si="43"/>
        <v>-1770388.7</v>
      </c>
    </row>
    <row r="283" spans="1:26" ht="12.75" hidden="1" outlineLevel="1">
      <c r="A283" s="172" t="s">
        <v>2683</v>
      </c>
      <c r="C283" s="173" t="s">
        <v>2684</v>
      </c>
      <c r="D283" s="173" t="s">
        <v>2685</v>
      </c>
      <c r="E283" s="172">
        <v>0</v>
      </c>
      <c r="F283" s="172">
        <v>0</v>
      </c>
      <c r="G283" s="221">
        <f t="shared" si="37"/>
        <v>0</v>
      </c>
      <c r="H283" s="222">
        <v>0</v>
      </c>
      <c r="I283" s="222">
        <v>0</v>
      </c>
      <c r="J283" s="222">
        <v>0</v>
      </c>
      <c r="K283" s="222">
        <v>0</v>
      </c>
      <c r="L283" s="222">
        <f t="shared" si="38"/>
        <v>0</v>
      </c>
      <c r="M283" s="222">
        <v>0</v>
      </c>
      <c r="N283" s="222">
        <v>0</v>
      </c>
      <c r="O283" s="222">
        <v>0</v>
      </c>
      <c r="P283" s="222">
        <f t="shared" si="39"/>
        <v>0</v>
      </c>
      <c r="Q283" s="221">
        <v>0</v>
      </c>
      <c r="R283" s="221">
        <v>0</v>
      </c>
      <c r="S283" s="221">
        <v>0</v>
      </c>
      <c r="T283" s="221">
        <v>-25544.9</v>
      </c>
      <c r="U283" s="221">
        <f t="shared" si="40"/>
        <v>-25544.9</v>
      </c>
      <c r="V283" s="221">
        <f t="shared" si="41"/>
        <v>-25544.9</v>
      </c>
      <c r="W283" s="172">
        <v>0</v>
      </c>
      <c r="X283" s="172">
        <f t="shared" si="42"/>
        <v>-25544.9</v>
      </c>
      <c r="Y283" s="173">
        <v>0</v>
      </c>
      <c r="Z283" s="172">
        <f t="shared" si="43"/>
        <v>-25544.9</v>
      </c>
    </row>
    <row r="284" spans="1:26" ht="12.75" hidden="1" outlineLevel="1">
      <c r="A284" s="172" t="s">
        <v>2686</v>
      </c>
      <c r="C284" s="173" t="s">
        <v>2687</v>
      </c>
      <c r="D284" s="173" t="s">
        <v>2688</v>
      </c>
      <c r="E284" s="172">
        <v>0</v>
      </c>
      <c r="F284" s="172">
        <v>551829.45</v>
      </c>
      <c r="G284" s="221">
        <f t="shared" si="37"/>
        <v>551829.45</v>
      </c>
      <c r="H284" s="222">
        <v>52119.98</v>
      </c>
      <c r="I284" s="222">
        <v>0</v>
      </c>
      <c r="J284" s="222">
        <v>0</v>
      </c>
      <c r="K284" s="222">
        <v>0</v>
      </c>
      <c r="L284" s="222">
        <f t="shared" si="38"/>
        <v>0</v>
      </c>
      <c r="M284" s="222">
        <v>0</v>
      </c>
      <c r="N284" s="222">
        <v>0</v>
      </c>
      <c r="O284" s="222">
        <v>0</v>
      </c>
      <c r="P284" s="222">
        <f t="shared" si="39"/>
        <v>0</v>
      </c>
      <c r="Q284" s="221">
        <v>0</v>
      </c>
      <c r="R284" s="221">
        <v>0</v>
      </c>
      <c r="S284" s="221">
        <v>0</v>
      </c>
      <c r="T284" s="221">
        <v>0</v>
      </c>
      <c r="U284" s="221">
        <f t="shared" si="40"/>
        <v>0</v>
      </c>
      <c r="V284" s="221">
        <f t="shared" si="41"/>
        <v>603949.4299999999</v>
      </c>
      <c r="W284" s="172">
        <v>0</v>
      </c>
      <c r="X284" s="172">
        <f t="shared" si="42"/>
        <v>603949.4299999999</v>
      </c>
      <c r="Y284" s="173">
        <v>0</v>
      </c>
      <c r="Z284" s="172">
        <f t="shared" si="43"/>
        <v>603949.4299999999</v>
      </c>
    </row>
    <row r="285" spans="1:26" ht="12.75" hidden="1" outlineLevel="1">
      <c r="A285" s="172" t="s">
        <v>2689</v>
      </c>
      <c r="C285" s="173" t="s">
        <v>2690</v>
      </c>
      <c r="D285" s="173" t="s">
        <v>2691</v>
      </c>
      <c r="E285" s="172">
        <v>0</v>
      </c>
      <c r="F285" s="172">
        <v>22157</v>
      </c>
      <c r="G285" s="221">
        <f t="shared" si="37"/>
        <v>22157</v>
      </c>
      <c r="H285" s="222">
        <v>0</v>
      </c>
      <c r="I285" s="222">
        <v>0</v>
      </c>
      <c r="J285" s="222">
        <v>0</v>
      </c>
      <c r="K285" s="222">
        <v>0</v>
      </c>
      <c r="L285" s="222">
        <f t="shared" si="38"/>
        <v>0</v>
      </c>
      <c r="M285" s="222">
        <v>0</v>
      </c>
      <c r="N285" s="222">
        <v>0</v>
      </c>
      <c r="O285" s="222">
        <v>0</v>
      </c>
      <c r="P285" s="222">
        <f t="shared" si="39"/>
        <v>0</v>
      </c>
      <c r="Q285" s="221">
        <v>0</v>
      </c>
      <c r="R285" s="221">
        <v>0</v>
      </c>
      <c r="S285" s="221">
        <v>0</v>
      </c>
      <c r="T285" s="221">
        <v>0</v>
      </c>
      <c r="U285" s="221">
        <f t="shared" si="40"/>
        <v>0</v>
      </c>
      <c r="V285" s="221">
        <f t="shared" si="41"/>
        <v>22157</v>
      </c>
      <c r="W285" s="172">
        <v>0</v>
      </c>
      <c r="X285" s="172">
        <f t="shared" si="42"/>
        <v>22157</v>
      </c>
      <c r="Y285" s="173">
        <v>0</v>
      </c>
      <c r="Z285" s="172">
        <f t="shared" si="43"/>
        <v>22157</v>
      </c>
    </row>
    <row r="286" spans="1:26" ht="12.75" hidden="1" outlineLevel="1">
      <c r="A286" s="172" t="s">
        <v>2692</v>
      </c>
      <c r="C286" s="173" t="s">
        <v>2693</v>
      </c>
      <c r="D286" s="173" t="s">
        <v>2694</v>
      </c>
      <c r="E286" s="172">
        <v>0</v>
      </c>
      <c r="F286" s="172">
        <v>135000</v>
      </c>
      <c r="G286" s="221">
        <f t="shared" si="37"/>
        <v>135000</v>
      </c>
      <c r="H286" s="222">
        <v>0</v>
      </c>
      <c r="I286" s="222">
        <v>0</v>
      </c>
      <c r="J286" s="222">
        <v>0</v>
      </c>
      <c r="K286" s="222">
        <v>0</v>
      </c>
      <c r="L286" s="222">
        <f t="shared" si="38"/>
        <v>0</v>
      </c>
      <c r="M286" s="222">
        <v>0</v>
      </c>
      <c r="N286" s="222">
        <v>0</v>
      </c>
      <c r="O286" s="222">
        <v>0</v>
      </c>
      <c r="P286" s="222">
        <f t="shared" si="39"/>
        <v>0</v>
      </c>
      <c r="Q286" s="221">
        <v>0</v>
      </c>
      <c r="R286" s="221">
        <v>0</v>
      </c>
      <c r="S286" s="221">
        <v>0</v>
      </c>
      <c r="T286" s="221">
        <v>0</v>
      </c>
      <c r="U286" s="221">
        <f t="shared" si="40"/>
        <v>0</v>
      </c>
      <c r="V286" s="221">
        <f t="shared" si="41"/>
        <v>135000</v>
      </c>
      <c r="W286" s="172">
        <v>0</v>
      </c>
      <c r="X286" s="172">
        <f t="shared" si="42"/>
        <v>135000</v>
      </c>
      <c r="Y286" s="173">
        <v>0</v>
      </c>
      <c r="Z286" s="172">
        <f t="shared" si="43"/>
        <v>135000</v>
      </c>
    </row>
    <row r="287" spans="1:26" ht="12.75" hidden="1" outlineLevel="1">
      <c r="A287" s="172" t="s">
        <v>2695</v>
      </c>
      <c r="C287" s="173" t="s">
        <v>2696</v>
      </c>
      <c r="D287" s="173" t="s">
        <v>2697</v>
      </c>
      <c r="E287" s="172">
        <v>0</v>
      </c>
      <c r="F287" s="172">
        <v>35169.05</v>
      </c>
      <c r="G287" s="221">
        <f t="shared" si="37"/>
        <v>35169.05</v>
      </c>
      <c r="H287" s="222">
        <v>0</v>
      </c>
      <c r="I287" s="222">
        <v>0</v>
      </c>
      <c r="J287" s="222">
        <v>0</v>
      </c>
      <c r="K287" s="222">
        <v>0</v>
      </c>
      <c r="L287" s="222">
        <f t="shared" si="38"/>
        <v>0</v>
      </c>
      <c r="M287" s="222">
        <v>0</v>
      </c>
      <c r="N287" s="222">
        <v>0</v>
      </c>
      <c r="O287" s="222">
        <v>0</v>
      </c>
      <c r="P287" s="222">
        <f t="shared" si="39"/>
        <v>0</v>
      </c>
      <c r="Q287" s="221">
        <v>0</v>
      </c>
      <c r="R287" s="221">
        <v>0</v>
      </c>
      <c r="S287" s="221">
        <v>0</v>
      </c>
      <c r="T287" s="221">
        <v>0</v>
      </c>
      <c r="U287" s="221">
        <f t="shared" si="40"/>
        <v>0</v>
      </c>
      <c r="V287" s="221">
        <f t="shared" si="41"/>
        <v>35169.05</v>
      </c>
      <c r="W287" s="172">
        <v>0</v>
      </c>
      <c r="X287" s="172">
        <f t="shared" si="42"/>
        <v>35169.05</v>
      </c>
      <c r="Y287" s="173">
        <v>0</v>
      </c>
      <c r="Z287" s="172">
        <f t="shared" si="43"/>
        <v>35169.05</v>
      </c>
    </row>
    <row r="288" spans="1:26" ht="12.75" hidden="1" outlineLevel="1">
      <c r="A288" s="172" t="s">
        <v>2698</v>
      </c>
      <c r="C288" s="173" t="s">
        <v>2699</v>
      </c>
      <c r="D288" s="173" t="s">
        <v>2700</v>
      </c>
      <c r="E288" s="172">
        <v>0</v>
      </c>
      <c r="F288" s="172">
        <v>87546.33</v>
      </c>
      <c r="G288" s="221">
        <f t="shared" si="37"/>
        <v>87546.33</v>
      </c>
      <c r="H288" s="222">
        <v>0</v>
      </c>
      <c r="I288" s="222">
        <v>0</v>
      </c>
      <c r="J288" s="222">
        <v>0</v>
      </c>
      <c r="K288" s="222">
        <v>0</v>
      </c>
      <c r="L288" s="222">
        <f t="shared" si="38"/>
        <v>0</v>
      </c>
      <c r="M288" s="222">
        <v>0</v>
      </c>
      <c r="N288" s="222">
        <v>0</v>
      </c>
      <c r="O288" s="222">
        <v>0</v>
      </c>
      <c r="P288" s="222">
        <f t="shared" si="39"/>
        <v>0</v>
      </c>
      <c r="Q288" s="221">
        <v>0</v>
      </c>
      <c r="R288" s="221">
        <v>0</v>
      </c>
      <c r="S288" s="221">
        <v>0</v>
      </c>
      <c r="T288" s="221">
        <v>0</v>
      </c>
      <c r="U288" s="221">
        <f t="shared" si="40"/>
        <v>0</v>
      </c>
      <c r="V288" s="221">
        <f t="shared" si="41"/>
        <v>87546.33</v>
      </c>
      <c r="W288" s="172">
        <v>0</v>
      </c>
      <c r="X288" s="172">
        <f t="shared" si="42"/>
        <v>87546.33</v>
      </c>
      <c r="Y288" s="173">
        <v>0</v>
      </c>
      <c r="Z288" s="172">
        <f t="shared" si="43"/>
        <v>87546.33</v>
      </c>
    </row>
    <row r="289" spans="1:26" ht="12.75" hidden="1" outlineLevel="1">
      <c r="A289" s="172" t="s">
        <v>2701</v>
      </c>
      <c r="C289" s="173" t="s">
        <v>2702</v>
      </c>
      <c r="D289" s="173" t="s">
        <v>2703</v>
      </c>
      <c r="E289" s="172">
        <v>0</v>
      </c>
      <c r="F289" s="172">
        <v>6038.67</v>
      </c>
      <c r="G289" s="221">
        <f t="shared" si="37"/>
        <v>6038.67</v>
      </c>
      <c r="H289" s="222">
        <v>0</v>
      </c>
      <c r="I289" s="222">
        <v>0</v>
      </c>
      <c r="J289" s="222">
        <v>0</v>
      </c>
      <c r="K289" s="222">
        <v>0</v>
      </c>
      <c r="L289" s="222">
        <f t="shared" si="38"/>
        <v>0</v>
      </c>
      <c r="M289" s="222">
        <v>0</v>
      </c>
      <c r="N289" s="222">
        <v>0</v>
      </c>
      <c r="O289" s="222">
        <v>0</v>
      </c>
      <c r="P289" s="222">
        <f t="shared" si="39"/>
        <v>0</v>
      </c>
      <c r="Q289" s="221">
        <v>0</v>
      </c>
      <c r="R289" s="221">
        <v>0</v>
      </c>
      <c r="S289" s="221">
        <v>0</v>
      </c>
      <c r="T289" s="221">
        <v>0</v>
      </c>
      <c r="U289" s="221">
        <f t="shared" si="40"/>
        <v>0</v>
      </c>
      <c r="V289" s="221">
        <f t="shared" si="41"/>
        <v>6038.67</v>
      </c>
      <c r="W289" s="172">
        <v>0</v>
      </c>
      <c r="X289" s="172">
        <f t="shared" si="42"/>
        <v>6038.67</v>
      </c>
      <c r="Y289" s="173">
        <v>0</v>
      </c>
      <c r="Z289" s="172">
        <f t="shared" si="43"/>
        <v>6038.67</v>
      </c>
    </row>
    <row r="290" spans="1:26" ht="12.75" hidden="1" outlineLevel="1">
      <c r="A290" s="172" t="s">
        <v>2704</v>
      </c>
      <c r="C290" s="173" t="s">
        <v>2705</v>
      </c>
      <c r="D290" s="173" t="s">
        <v>2706</v>
      </c>
      <c r="E290" s="172">
        <v>0</v>
      </c>
      <c r="F290" s="172">
        <v>42632.15</v>
      </c>
      <c r="G290" s="221">
        <f t="shared" si="37"/>
        <v>42632.15</v>
      </c>
      <c r="H290" s="222">
        <v>82527.68</v>
      </c>
      <c r="I290" s="222">
        <v>0</v>
      </c>
      <c r="J290" s="222">
        <v>0</v>
      </c>
      <c r="K290" s="222">
        <v>0</v>
      </c>
      <c r="L290" s="222">
        <f t="shared" si="38"/>
        <v>0</v>
      </c>
      <c r="M290" s="222">
        <v>0</v>
      </c>
      <c r="N290" s="222">
        <v>0</v>
      </c>
      <c r="O290" s="222">
        <v>0</v>
      </c>
      <c r="P290" s="222">
        <f t="shared" si="39"/>
        <v>0</v>
      </c>
      <c r="Q290" s="221">
        <v>0</v>
      </c>
      <c r="R290" s="221">
        <v>0</v>
      </c>
      <c r="S290" s="221">
        <v>0</v>
      </c>
      <c r="T290" s="221">
        <v>0</v>
      </c>
      <c r="U290" s="221">
        <f t="shared" si="40"/>
        <v>0</v>
      </c>
      <c r="V290" s="221">
        <f t="shared" si="41"/>
        <v>125159.82999999999</v>
      </c>
      <c r="W290" s="172">
        <v>0</v>
      </c>
      <c r="X290" s="172">
        <f t="shared" si="42"/>
        <v>125159.82999999999</v>
      </c>
      <c r="Y290" s="173">
        <v>0</v>
      </c>
      <c r="Z290" s="172">
        <f t="shared" si="43"/>
        <v>125159.82999999999</v>
      </c>
    </row>
    <row r="291" spans="1:26" ht="12.75" hidden="1" outlineLevel="1">
      <c r="A291" s="172" t="s">
        <v>2707</v>
      </c>
      <c r="C291" s="173" t="s">
        <v>2708</v>
      </c>
      <c r="D291" s="173" t="s">
        <v>2709</v>
      </c>
      <c r="E291" s="172">
        <v>0</v>
      </c>
      <c r="F291" s="172">
        <v>6602</v>
      </c>
      <c r="G291" s="221">
        <f t="shared" si="37"/>
        <v>6602</v>
      </c>
      <c r="H291" s="222">
        <v>18989.87</v>
      </c>
      <c r="I291" s="222">
        <v>0</v>
      </c>
      <c r="J291" s="222">
        <v>0</v>
      </c>
      <c r="K291" s="222">
        <v>0</v>
      </c>
      <c r="L291" s="222">
        <f t="shared" si="38"/>
        <v>0</v>
      </c>
      <c r="M291" s="222">
        <v>0</v>
      </c>
      <c r="N291" s="222">
        <v>0</v>
      </c>
      <c r="O291" s="222">
        <v>0</v>
      </c>
      <c r="P291" s="222">
        <f t="shared" si="39"/>
        <v>0</v>
      </c>
      <c r="Q291" s="221">
        <v>0</v>
      </c>
      <c r="R291" s="221">
        <v>0</v>
      </c>
      <c r="S291" s="221">
        <v>0</v>
      </c>
      <c r="T291" s="221">
        <v>0</v>
      </c>
      <c r="U291" s="221">
        <f t="shared" si="40"/>
        <v>0</v>
      </c>
      <c r="V291" s="221">
        <f t="shared" si="41"/>
        <v>25591.87</v>
      </c>
      <c r="W291" s="172">
        <v>0</v>
      </c>
      <c r="X291" s="172">
        <f t="shared" si="42"/>
        <v>25591.87</v>
      </c>
      <c r="Y291" s="173">
        <v>0</v>
      </c>
      <c r="Z291" s="172">
        <f t="shared" si="43"/>
        <v>25591.87</v>
      </c>
    </row>
    <row r="292" spans="1:26" ht="12.75" hidden="1" outlineLevel="1">
      <c r="A292" s="172" t="s">
        <v>2710</v>
      </c>
      <c r="C292" s="173" t="s">
        <v>2711</v>
      </c>
      <c r="D292" s="173" t="s">
        <v>2712</v>
      </c>
      <c r="E292" s="172">
        <v>0</v>
      </c>
      <c r="F292" s="172">
        <v>106449.3</v>
      </c>
      <c r="G292" s="221">
        <f t="shared" si="37"/>
        <v>106449.3</v>
      </c>
      <c r="H292" s="222">
        <v>104779.2</v>
      </c>
      <c r="I292" s="222">
        <v>0</v>
      </c>
      <c r="J292" s="222">
        <v>0</v>
      </c>
      <c r="K292" s="222">
        <v>0</v>
      </c>
      <c r="L292" s="222">
        <f t="shared" si="38"/>
        <v>0</v>
      </c>
      <c r="M292" s="222">
        <v>0</v>
      </c>
      <c r="N292" s="222">
        <v>0</v>
      </c>
      <c r="O292" s="222">
        <v>0</v>
      </c>
      <c r="P292" s="222">
        <f t="shared" si="39"/>
        <v>0</v>
      </c>
      <c r="Q292" s="221">
        <v>0</v>
      </c>
      <c r="R292" s="221">
        <v>0</v>
      </c>
      <c r="S292" s="221">
        <v>0</v>
      </c>
      <c r="T292" s="221">
        <v>0</v>
      </c>
      <c r="U292" s="221">
        <f t="shared" si="40"/>
        <v>0</v>
      </c>
      <c r="V292" s="221">
        <f t="shared" si="41"/>
        <v>211228.5</v>
      </c>
      <c r="W292" s="172">
        <v>0</v>
      </c>
      <c r="X292" s="172">
        <f t="shared" si="42"/>
        <v>211228.5</v>
      </c>
      <c r="Y292" s="173">
        <v>0</v>
      </c>
      <c r="Z292" s="172">
        <f t="shared" si="43"/>
        <v>211228.5</v>
      </c>
    </row>
    <row r="293" spans="1:26" ht="12.75" hidden="1" outlineLevel="1">
      <c r="A293" s="172" t="s">
        <v>2713</v>
      </c>
      <c r="C293" s="173" t="s">
        <v>2714</v>
      </c>
      <c r="D293" s="173" t="s">
        <v>2715</v>
      </c>
      <c r="E293" s="172">
        <v>0</v>
      </c>
      <c r="F293" s="172">
        <v>33071.99</v>
      </c>
      <c r="G293" s="221">
        <f t="shared" si="37"/>
        <v>33071.99</v>
      </c>
      <c r="H293" s="222">
        <v>0</v>
      </c>
      <c r="I293" s="222">
        <v>0</v>
      </c>
      <c r="J293" s="222">
        <v>0</v>
      </c>
      <c r="K293" s="222">
        <v>0</v>
      </c>
      <c r="L293" s="222">
        <f t="shared" si="38"/>
        <v>0</v>
      </c>
      <c r="M293" s="222">
        <v>0</v>
      </c>
      <c r="N293" s="222">
        <v>0</v>
      </c>
      <c r="O293" s="222">
        <v>0</v>
      </c>
      <c r="P293" s="222">
        <f t="shared" si="39"/>
        <v>0</v>
      </c>
      <c r="Q293" s="221">
        <v>0</v>
      </c>
      <c r="R293" s="221">
        <v>0</v>
      </c>
      <c r="S293" s="221">
        <v>0</v>
      </c>
      <c r="T293" s="221">
        <v>0</v>
      </c>
      <c r="U293" s="221">
        <f t="shared" si="40"/>
        <v>0</v>
      </c>
      <c r="V293" s="221">
        <f t="shared" si="41"/>
        <v>33071.99</v>
      </c>
      <c r="W293" s="172">
        <v>0</v>
      </c>
      <c r="X293" s="172">
        <f t="shared" si="42"/>
        <v>33071.99</v>
      </c>
      <c r="Y293" s="173">
        <v>0</v>
      </c>
      <c r="Z293" s="172">
        <f t="shared" si="43"/>
        <v>33071.99</v>
      </c>
    </row>
    <row r="294" spans="1:26" ht="12.75" hidden="1" outlineLevel="1">
      <c r="A294" s="172" t="s">
        <v>2716</v>
      </c>
      <c r="C294" s="173" t="s">
        <v>2717</v>
      </c>
      <c r="D294" s="173" t="s">
        <v>2718</v>
      </c>
      <c r="E294" s="172">
        <v>0</v>
      </c>
      <c r="F294" s="172">
        <v>1635887.82</v>
      </c>
      <c r="G294" s="221">
        <f t="shared" si="37"/>
        <v>1635887.82</v>
      </c>
      <c r="H294" s="222">
        <v>134500.88</v>
      </c>
      <c r="I294" s="222">
        <v>0</v>
      </c>
      <c r="J294" s="222">
        <v>0</v>
      </c>
      <c r="K294" s="222">
        <v>0</v>
      </c>
      <c r="L294" s="222">
        <f t="shared" si="38"/>
        <v>0</v>
      </c>
      <c r="M294" s="222">
        <v>0</v>
      </c>
      <c r="N294" s="222">
        <v>0</v>
      </c>
      <c r="O294" s="222">
        <v>0</v>
      </c>
      <c r="P294" s="222">
        <f t="shared" si="39"/>
        <v>0</v>
      </c>
      <c r="Q294" s="221">
        <v>0</v>
      </c>
      <c r="R294" s="221">
        <v>0</v>
      </c>
      <c r="S294" s="221">
        <v>0</v>
      </c>
      <c r="T294" s="221">
        <v>0</v>
      </c>
      <c r="U294" s="221">
        <f t="shared" si="40"/>
        <v>0</v>
      </c>
      <c r="V294" s="221">
        <f t="shared" si="41"/>
        <v>1770388.7000000002</v>
      </c>
      <c r="W294" s="172">
        <v>0</v>
      </c>
      <c r="X294" s="172">
        <f t="shared" si="42"/>
        <v>1770388.7000000002</v>
      </c>
      <c r="Y294" s="173">
        <v>0</v>
      </c>
      <c r="Z294" s="172">
        <f t="shared" si="43"/>
        <v>1770388.7000000002</v>
      </c>
    </row>
    <row r="295" spans="1:26" ht="12.75" hidden="1" outlineLevel="1">
      <c r="A295" s="172" t="s">
        <v>2719</v>
      </c>
      <c r="C295" s="173" t="s">
        <v>2720</v>
      </c>
      <c r="D295" s="173" t="s">
        <v>2721</v>
      </c>
      <c r="E295" s="172">
        <v>0</v>
      </c>
      <c r="F295" s="172">
        <v>0</v>
      </c>
      <c r="G295" s="221">
        <f t="shared" si="37"/>
        <v>0</v>
      </c>
      <c r="H295" s="222">
        <v>0</v>
      </c>
      <c r="I295" s="222">
        <v>0</v>
      </c>
      <c r="J295" s="222">
        <v>0</v>
      </c>
      <c r="K295" s="222">
        <v>0</v>
      </c>
      <c r="L295" s="222">
        <f t="shared" si="38"/>
        <v>0</v>
      </c>
      <c r="M295" s="222">
        <v>0</v>
      </c>
      <c r="N295" s="222">
        <v>0</v>
      </c>
      <c r="O295" s="222">
        <v>0</v>
      </c>
      <c r="P295" s="222">
        <f t="shared" si="39"/>
        <v>0</v>
      </c>
      <c r="Q295" s="221">
        <v>254759.85</v>
      </c>
      <c r="R295" s="221">
        <v>0</v>
      </c>
      <c r="S295" s="221">
        <v>0</v>
      </c>
      <c r="T295" s="221">
        <v>0</v>
      </c>
      <c r="U295" s="221">
        <f t="shared" si="40"/>
        <v>254759.85</v>
      </c>
      <c r="V295" s="221">
        <f t="shared" si="41"/>
        <v>254759.85</v>
      </c>
      <c r="W295" s="172">
        <v>0</v>
      </c>
      <c r="X295" s="172">
        <f t="shared" si="42"/>
        <v>254759.85</v>
      </c>
      <c r="Y295" s="173">
        <v>0</v>
      </c>
      <c r="Z295" s="172">
        <f t="shared" si="43"/>
        <v>254759.85</v>
      </c>
    </row>
    <row r="296" spans="1:26" ht="12.75" hidden="1" outlineLevel="1">
      <c r="A296" s="172" t="s">
        <v>2722</v>
      </c>
      <c r="C296" s="173" t="s">
        <v>2723</v>
      </c>
      <c r="D296" s="173" t="s">
        <v>2724</v>
      </c>
      <c r="E296" s="172">
        <v>0</v>
      </c>
      <c r="F296" s="172">
        <v>0</v>
      </c>
      <c r="G296" s="221">
        <f t="shared" si="37"/>
        <v>0</v>
      </c>
      <c r="H296" s="222">
        <v>32707.82</v>
      </c>
      <c r="I296" s="222">
        <v>0</v>
      </c>
      <c r="J296" s="222">
        <v>0</v>
      </c>
      <c r="K296" s="222">
        <v>0</v>
      </c>
      <c r="L296" s="222">
        <f t="shared" si="38"/>
        <v>0</v>
      </c>
      <c r="M296" s="222">
        <v>0</v>
      </c>
      <c r="N296" s="222">
        <v>0</v>
      </c>
      <c r="O296" s="222">
        <v>0</v>
      </c>
      <c r="P296" s="222">
        <f t="shared" si="39"/>
        <v>0</v>
      </c>
      <c r="Q296" s="221">
        <v>297347.01</v>
      </c>
      <c r="R296" s="221">
        <v>0</v>
      </c>
      <c r="S296" s="221">
        <v>0</v>
      </c>
      <c r="T296" s="221">
        <v>0</v>
      </c>
      <c r="U296" s="221">
        <f t="shared" si="40"/>
        <v>297347.01</v>
      </c>
      <c r="V296" s="221">
        <f t="shared" si="41"/>
        <v>330054.83</v>
      </c>
      <c r="W296" s="172">
        <v>0</v>
      </c>
      <c r="X296" s="172">
        <f t="shared" si="42"/>
        <v>330054.83</v>
      </c>
      <c r="Y296" s="173">
        <v>0</v>
      </c>
      <c r="Z296" s="172">
        <f t="shared" si="43"/>
        <v>330054.83</v>
      </c>
    </row>
    <row r="297" spans="1:26" ht="12.75" hidden="1" outlineLevel="1">
      <c r="A297" s="172" t="s">
        <v>2725</v>
      </c>
      <c r="C297" s="173" t="s">
        <v>2726</v>
      </c>
      <c r="D297" s="173" t="s">
        <v>2727</v>
      </c>
      <c r="E297" s="172">
        <v>0</v>
      </c>
      <c r="F297" s="172">
        <v>20434.5</v>
      </c>
      <c r="G297" s="221">
        <f t="shared" si="37"/>
        <v>20434.5</v>
      </c>
      <c r="H297" s="222">
        <v>31750</v>
      </c>
      <c r="I297" s="222">
        <v>0</v>
      </c>
      <c r="J297" s="222">
        <v>0</v>
      </c>
      <c r="K297" s="222">
        <v>0</v>
      </c>
      <c r="L297" s="222">
        <f t="shared" si="38"/>
        <v>0</v>
      </c>
      <c r="M297" s="222">
        <v>0</v>
      </c>
      <c r="N297" s="222">
        <v>0</v>
      </c>
      <c r="O297" s="222">
        <v>0</v>
      </c>
      <c r="P297" s="222">
        <f t="shared" si="39"/>
        <v>0</v>
      </c>
      <c r="Q297" s="221">
        <v>469084.64</v>
      </c>
      <c r="R297" s="221">
        <v>0</v>
      </c>
      <c r="S297" s="221">
        <v>0</v>
      </c>
      <c r="T297" s="221">
        <v>0</v>
      </c>
      <c r="U297" s="221">
        <f t="shared" si="40"/>
        <v>469084.64</v>
      </c>
      <c r="V297" s="221">
        <f t="shared" si="41"/>
        <v>521269.14</v>
      </c>
      <c r="W297" s="172">
        <v>0</v>
      </c>
      <c r="X297" s="172">
        <f t="shared" si="42"/>
        <v>521269.14</v>
      </c>
      <c r="Y297" s="173">
        <v>0</v>
      </c>
      <c r="Z297" s="172">
        <f t="shared" si="43"/>
        <v>521269.14</v>
      </c>
    </row>
    <row r="298" spans="1:26" ht="12.75" hidden="1" outlineLevel="1">
      <c r="A298" s="172" t="s">
        <v>2728</v>
      </c>
      <c r="C298" s="173" t="s">
        <v>2729</v>
      </c>
      <c r="D298" s="173" t="s">
        <v>2730</v>
      </c>
      <c r="E298" s="172">
        <v>0</v>
      </c>
      <c r="F298" s="172">
        <v>0</v>
      </c>
      <c r="G298" s="221">
        <f t="shared" si="37"/>
        <v>0</v>
      </c>
      <c r="H298" s="222">
        <v>0</v>
      </c>
      <c r="I298" s="222">
        <v>0</v>
      </c>
      <c r="J298" s="222">
        <v>0</v>
      </c>
      <c r="K298" s="222">
        <v>0</v>
      </c>
      <c r="L298" s="222">
        <f t="shared" si="38"/>
        <v>0</v>
      </c>
      <c r="M298" s="222">
        <v>0</v>
      </c>
      <c r="N298" s="222">
        <v>0</v>
      </c>
      <c r="O298" s="222">
        <v>0</v>
      </c>
      <c r="P298" s="222">
        <f t="shared" si="39"/>
        <v>0</v>
      </c>
      <c r="Q298" s="221">
        <v>28888</v>
      </c>
      <c r="R298" s="221">
        <v>0</v>
      </c>
      <c r="S298" s="221">
        <v>0</v>
      </c>
      <c r="T298" s="221">
        <v>0</v>
      </c>
      <c r="U298" s="221">
        <f t="shared" si="40"/>
        <v>28888</v>
      </c>
      <c r="V298" s="221">
        <f t="shared" si="41"/>
        <v>28888</v>
      </c>
      <c r="W298" s="172">
        <v>0</v>
      </c>
      <c r="X298" s="172">
        <f t="shared" si="42"/>
        <v>28888</v>
      </c>
      <c r="Y298" s="173">
        <v>0</v>
      </c>
      <c r="Z298" s="172">
        <f t="shared" si="43"/>
        <v>28888</v>
      </c>
    </row>
    <row r="299" spans="1:26" ht="12.75" hidden="1" outlineLevel="1">
      <c r="A299" s="172" t="s">
        <v>2731</v>
      </c>
      <c r="C299" s="173" t="s">
        <v>1801</v>
      </c>
      <c r="D299" s="173" t="s">
        <v>2732</v>
      </c>
      <c r="E299" s="172">
        <v>0</v>
      </c>
      <c r="F299" s="172">
        <v>0</v>
      </c>
      <c r="G299" s="221">
        <f t="shared" si="37"/>
        <v>0</v>
      </c>
      <c r="H299" s="222">
        <v>0</v>
      </c>
      <c r="I299" s="222">
        <v>0</v>
      </c>
      <c r="J299" s="222">
        <v>0</v>
      </c>
      <c r="K299" s="222">
        <v>0</v>
      </c>
      <c r="L299" s="222">
        <f t="shared" si="38"/>
        <v>0</v>
      </c>
      <c r="M299" s="222">
        <v>0</v>
      </c>
      <c r="N299" s="222">
        <v>0</v>
      </c>
      <c r="O299" s="222">
        <v>0</v>
      </c>
      <c r="P299" s="222">
        <f t="shared" si="39"/>
        <v>0</v>
      </c>
      <c r="Q299" s="221">
        <v>178253.13</v>
      </c>
      <c r="R299" s="221">
        <v>0</v>
      </c>
      <c r="S299" s="221">
        <v>0</v>
      </c>
      <c r="T299" s="221">
        <v>0</v>
      </c>
      <c r="U299" s="221">
        <f t="shared" si="40"/>
        <v>178253.13</v>
      </c>
      <c r="V299" s="221">
        <f t="shared" si="41"/>
        <v>178253.13</v>
      </c>
      <c r="W299" s="172">
        <v>0</v>
      </c>
      <c r="X299" s="172">
        <f t="shared" si="42"/>
        <v>178253.13</v>
      </c>
      <c r="Y299" s="173">
        <v>0</v>
      </c>
      <c r="Z299" s="172">
        <f t="shared" si="43"/>
        <v>178253.13</v>
      </c>
    </row>
    <row r="300" spans="1:26" ht="12.75" hidden="1" outlineLevel="1">
      <c r="A300" s="172" t="s">
        <v>2733</v>
      </c>
      <c r="C300" s="173" t="s">
        <v>2734</v>
      </c>
      <c r="D300" s="173" t="s">
        <v>2735</v>
      </c>
      <c r="E300" s="172">
        <v>0</v>
      </c>
      <c r="F300" s="172">
        <v>0</v>
      </c>
      <c r="G300" s="221">
        <f t="shared" si="37"/>
        <v>0</v>
      </c>
      <c r="H300" s="222">
        <v>0</v>
      </c>
      <c r="I300" s="222">
        <v>0</v>
      </c>
      <c r="J300" s="222">
        <v>0</v>
      </c>
      <c r="K300" s="222">
        <v>0</v>
      </c>
      <c r="L300" s="222">
        <f t="shared" si="38"/>
        <v>0</v>
      </c>
      <c r="M300" s="222">
        <v>0</v>
      </c>
      <c r="N300" s="222">
        <v>0</v>
      </c>
      <c r="O300" s="222">
        <v>0</v>
      </c>
      <c r="P300" s="222">
        <f t="shared" si="39"/>
        <v>0</v>
      </c>
      <c r="Q300" s="221">
        <v>3160011.89</v>
      </c>
      <c r="R300" s="221">
        <v>3886537.35</v>
      </c>
      <c r="S300" s="221">
        <v>0</v>
      </c>
      <c r="T300" s="221">
        <v>0</v>
      </c>
      <c r="U300" s="221">
        <f t="shared" si="40"/>
        <v>7046549.24</v>
      </c>
      <c r="V300" s="221">
        <f t="shared" si="41"/>
        <v>7046549.24</v>
      </c>
      <c r="W300" s="172">
        <v>0</v>
      </c>
      <c r="X300" s="172">
        <f t="shared" si="42"/>
        <v>7046549.24</v>
      </c>
      <c r="Y300" s="173">
        <v>0</v>
      </c>
      <c r="Z300" s="172">
        <f t="shared" si="43"/>
        <v>7046549.24</v>
      </c>
    </row>
    <row r="301" spans="1:26" ht="12.75" hidden="1" outlineLevel="1">
      <c r="A301" s="172" t="s">
        <v>2736</v>
      </c>
      <c r="C301" s="173" t="s">
        <v>2737</v>
      </c>
      <c r="D301" s="173" t="s">
        <v>2738</v>
      </c>
      <c r="E301" s="172">
        <v>0</v>
      </c>
      <c r="F301" s="172">
        <v>0</v>
      </c>
      <c r="G301" s="221">
        <f t="shared" si="37"/>
        <v>0</v>
      </c>
      <c r="H301" s="222">
        <v>0</v>
      </c>
      <c r="I301" s="222">
        <v>0</v>
      </c>
      <c r="J301" s="222">
        <v>0</v>
      </c>
      <c r="K301" s="222">
        <v>0</v>
      </c>
      <c r="L301" s="222">
        <f t="shared" si="38"/>
        <v>0</v>
      </c>
      <c r="M301" s="222">
        <v>0</v>
      </c>
      <c r="N301" s="222">
        <v>0</v>
      </c>
      <c r="O301" s="222">
        <v>0</v>
      </c>
      <c r="P301" s="222">
        <f t="shared" si="39"/>
        <v>0</v>
      </c>
      <c r="Q301" s="221">
        <v>202535.25</v>
      </c>
      <c r="R301" s="221">
        <v>0</v>
      </c>
      <c r="S301" s="221">
        <v>0</v>
      </c>
      <c r="T301" s="221">
        <v>0</v>
      </c>
      <c r="U301" s="221">
        <f t="shared" si="40"/>
        <v>202535.25</v>
      </c>
      <c r="V301" s="221">
        <f t="shared" si="41"/>
        <v>202535.25</v>
      </c>
      <c r="W301" s="172">
        <v>0</v>
      </c>
      <c r="X301" s="172">
        <f t="shared" si="42"/>
        <v>202535.25</v>
      </c>
      <c r="Y301" s="173">
        <v>0</v>
      </c>
      <c r="Z301" s="172">
        <f t="shared" si="43"/>
        <v>202535.25</v>
      </c>
    </row>
    <row r="302" spans="1:26" ht="12.75" hidden="1" outlineLevel="1">
      <c r="A302" s="172" t="s">
        <v>2739</v>
      </c>
      <c r="C302" s="173" t="s">
        <v>2740</v>
      </c>
      <c r="D302" s="173" t="s">
        <v>2741</v>
      </c>
      <c r="E302" s="172">
        <v>0</v>
      </c>
      <c r="F302" s="172">
        <v>25544.9</v>
      </c>
      <c r="G302" s="221">
        <f t="shared" si="37"/>
        <v>25544.9</v>
      </c>
      <c r="H302" s="222">
        <v>0</v>
      </c>
      <c r="I302" s="222">
        <v>0</v>
      </c>
      <c r="J302" s="222">
        <v>0</v>
      </c>
      <c r="K302" s="222">
        <v>0</v>
      </c>
      <c r="L302" s="222">
        <f t="shared" si="38"/>
        <v>0</v>
      </c>
      <c r="M302" s="222">
        <v>0</v>
      </c>
      <c r="N302" s="222">
        <v>0</v>
      </c>
      <c r="O302" s="222">
        <v>0</v>
      </c>
      <c r="P302" s="222">
        <f t="shared" si="39"/>
        <v>0</v>
      </c>
      <c r="Q302" s="221">
        <v>0</v>
      </c>
      <c r="R302" s="221">
        <v>0</v>
      </c>
      <c r="S302" s="221">
        <v>0</v>
      </c>
      <c r="T302" s="221">
        <v>0</v>
      </c>
      <c r="U302" s="221">
        <f t="shared" si="40"/>
        <v>0</v>
      </c>
      <c r="V302" s="221">
        <f t="shared" si="41"/>
        <v>25544.9</v>
      </c>
      <c r="W302" s="172">
        <v>0</v>
      </c>
      <c r="X302" s="172">
        <f t="shared" si="42"/>
        <v>25544.9</v>
      </c>
      <c r="Y302" s="173">
        <v>0</v>
      </c>
      <c r="Z302" s="172">
        <f t="shared" si="43"/>
        <v>25544.9</v>
      </c>
    </row>
    <row r="303" spans="1:27" ht="12.75" collapsed="1">
      <c r="A303" s="213" t="s">
        <v>2742</v>
      </c>
      <c r="B303" s="214"/>
      <c r="C303" s="213" t="s">
        <v>2743</v>
      </c>
      <c r="D303" s="215"/>
      <c r="E303" s="190">
        <v>0</v>
      </c>
      <c r="F303" s="190">
        <v>2708363.16</v>
      </c>
      <c r="G303" s="102">
        <f t="shared" si="37"/>
        <v>2708363.16</v>
      </c>
      <c r="H303" s="102">
        <v>457375.43</v>
      </c>
      <c r="I303" s="102">
        <v>0</v>
      </c>
      <c r="J303" s="102">
        <v>0</v>
      </c>
      <c r="K303" s="102">
        <v>0</v>
      </c>
      <c r="L303" s="102">
        <f t="shared" si="38"/>
        <v>0</v>
      </c>
      <c r="M303" s="102">
        <v>0</v>
      </c>
      <c r="N303" s="102">
        <v>0</v>
      </c>
      <c r="O303" s="102">
        <v>0</v>
      </c>
      <c r="P303" s="102">
        <f t="shared" si="39"/>
        <v>0</v>
      </c>
      <c r="Q303" s="102">
        <v>4590879.77</v>
      </c>
      <c r="R303" s="102">
        <v>3886537.35</v>
      </c>
      <c r="S303" s="102">
        <v>0</v>
      </c>
      <c r="T303" s="102">
        <v>-11726695.440000001</v>
      </c>
      <c r="U303" s="102">
        <f t="shared" si="40"/>
        <v>-3249278.320000002</v>
      </c>
      <c r="V303" s="102">
        <f t="shared" si="41"/>
        <v>-83539.73000000184</v>
      </c>
      <c r="W303" s="190">
        <v>0</v>
      </c>
      <c r="X303" s="190">
        <f t="shared" si="42"/>
        <v>-83539.73000000184</v>
      </c>
      <c r="Y303" s="190">
        <v>0</v>
      </c>
      <c r="Z303" s="190">
        <f t="shared" si="43"/>
        <v>-83539.73000000184</v>
      </c>
      <c r="AA303" s="213"/>
    </row>
    <row r="304" spans="1:26" ht="12.75" hidden="1" outlineLevel="1">
      <c r="A304" s="172" t="s">
        <v>2744</v>
      </c>
      <c r="C304" s="173" t="s">
        <v>2745</v>
      </c>
      <c r="D304" s="173" t="s">
        <v>2746</v>
      </c>
      <c r="E304" s="172">
        <v>0</v>
      </c>
      <c r="F304" s="172">
        <v>0</v>
      </c>
      <c r="G304" s="221">
        <f t="shared" si="37"/>
        <v>0</v>
      </c>
      <c r="H304" s="222">
        <v>0</v>
      </c>
      <c r="I304" s="222">
        <v>0</v>
      </c>
      <c r="J304" s="222">
        <v>0</v>
      </c>
      <c r="K304" s="222">
        <v>0</v>
      </c>
      <c r="L304" s="222">
        <f t="shared" si="38"/>
        <v>0</v>
      </c>
      <c r="M304" s="222">
        <v>0</v>
      </c>
      <c r="N304" s="222">
        <v>0</v>
      </c>
      <c r="O304" s="222">
        <v>0</v>
      </c>
      <c r="P304" s="222">
        <f t="shared" si="39"/>
        <v>0</v>
      </c>
      <c r="Q304" s="221">
        <v>0</v>
      </c>
      <c r="R304" s="221">
        <v>0</v>
      </c>
      <c r="S304" s="221">
        <v>0</v>
      </c>
      <c r="T304" s="221">
        <v>6215775.82</v>
      </c>
      <c r="U304" s="221">
        <f t="shared" si="40"/>
        <v>6215775.82</v>
      </c>
      <c r="V304" s="221">
        <f t="shared" si="41"/>
        <v>6215775.82</v>
      </c>
      <c r="W304" s="172">
        <v>0</v>
      </c>
      <c r="X304" s="172">
        <f t="shared" si="42"/>
        <v>6215775.82</v>
      </c>
      <c r="Y304" s="173">
        <v>0</v>
      </c>
      <c r="Z304" s="172">
        <f t="shared" si="43"/>
        <v>6215775.82</v>
      </c>
    </row>
    <row r="305" spans="1:26" ht="12.75" hidden="1" outlineLevel="1">
      <c r="A305" s="172" t="s">
        <v>2747</v>
      </c>
      <c r="C305" s="173" t="s">
        <v>2748</v>
      </c>
      <c r="D305" s="173" t="s">
        <v>2749</v>
      </c>
      <c r="E305" s="172">
        <v>0</v>
      </c>
      <c r="F305" s="172">
        <v>0</v>
      </c>
      <c r="G305" s="221">
        <f t="shared" si="37"/>
        <v>0</v>
      </c>
      <c r="H305" s="222">
        <v>0</v>
      </c>
      <c r="I305" s="222">
        <v>0</v>
      </c>
      <c r="J305" s="222">
        <v>0</v>
      </c>
      <c r="K305" s="222">
        <v>0</v>
      </c>
      <c r="L305" s="222">
        <f t="shared" si="38"/>
        <v>0</v>
      </c>
      <c r="M305" s="222">
        <v>0</v>
      </c>
      <c r="N305" s="222">
        <v>0</v>
      </c>
      <c r="O305" s="222">
        <v>0</v>
      </c>
      <c r="P305" s="222">
        <f t="shared" si="39"/>
        <v>0</v>
      </c>
      <c r="Q305" s="221">
        <v>0</v>
      </c>
      <c r="R305" s="221">
        <v>0</v>
      </c>
      <c r="S305" s="221">
        <v>0</v>
      </c>
      <c r="T305" s="221">
        <v>1163143.83</v>
      </c>
      <c r="U305" s="221">
        <f t="shared" si="40"/>
        <v>1163143.83</v>
      </c>
      <c r="V305" s="221">
        <f t="shared" si="41"/>
        <v>1163143.83</v>
      </c>
      <c r="W305" s="172">
        <v>0</v>
      </c>
      <c r="X305" s="172">
        <f t="shared" si="42"/>
        <v>1163143.83</v>
      </c>
      <c r="Y305" s="173">
        <v>0</v>
      </c>
      <c r="Z305" s="172">
        <f t="shared" si="43"/>
        <v>1163143.83</v>
      </c>
    </row>
    <row r="306" spans="1:26" ht="12.75" hidden="1" outlineLevel="1">
      <c r="A306" s="172" t="s">
        <v>2750</v>
      </c>
      <c r="C306" s="173" t="s">
        <v>2751</v>
      </c>
      <c r="D306" s="173" t="s">
        <v>2752</v>
      </c>
      <c r="E306" s="172">
        <v>0</v>
      </c>
      <c r="F306" s="172">
        <v>0</v>
      </c>
      <c r="G306" s="221">
        <f t="shared" si="37"/>
        <v>0</v>
      </c>
      <c r="H306" s="222">
        <v>0</v>
      </c>
      <c r="I306" s="222">
        <v>0</v>
      </c>
      <c r="J306" s="222">
        <v>0</v>
      </c>
      <c r="K306" s="222">
        <v>0</v>
      </c>
      <c r="L306" s="222">
        <f t="shared" si="38"/>
        <v>0</v>
      </c>
      <c r="M306" s="222">
        <v>0</v>
      </c>
      <c r="N306" s="222">
        <v>0</v>
      </c>
      <c r="O306" s="222">
        <v>0</v>
      </c>
      <c r="P306" s="222">
        <f t="shared" si="39"/>
        <v>0</v>
      </c>
      <c r="Q306" s="221">
        <v>0</v>
      </c>
      <c r="R306" s="221">
        <v>0</v>
      </c>
      <c r="S306" s="221">
        <v>0</v>
      </c>
      <c r="T306" s="221">
        <v>531374.97</v>
      </c>
      <c r="U306" s="221">
        <f t="shared" si="40"/>
        <v>531374.97</v>
      </c>
      <c r="V306" s="221">
        <f t="shared" si="41"/>
        <v>531374.97</v>
      </c>
      <c r="W306" s="172">
        <v>0</v>
      </c>
      <c r="X306" s="172">
        <f t="shared" si="42"/>
        <v>531374.97</v>
      </c>
      <c r="Y306" s="173">
        <v>0</v>
      </c>
      <c r="Z306" s="172">
        <f t="shared" si="43"/>
        <v>531374.97</v>
      </c>
    </row>
    <row r="307" spans="1:27" ht="12.75" collapsed="1">
      <c r="A307" s="213" t="s">
        <v>2753</v>
      </c>
      <c r="B307" s="214"/>
      <c r="C307" s="213" t="s">
        <v>1562</v>
      </c>
      <c r="D307" s="215"/>
      <c r="E307" s="190">
        <v>0</v>
      </c>
      <c r="F307" s="190">
        <v>0</v>
      </c>
      <c r="G307" s="102">
        <f t="shared" si="37"/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f t="shared" si="38"/>
        <v>0</v>
      </c>
      <c r="M307" s="102">
        <v>0</v>
      </c>
      <c r="N307" s="102">
        <v>0</v>
      </c>
      <c r="O307" s="102">
        <v>0</v>
      </c>
      <c r="P307" s="102">
        <f t="shared" si="39"/>
        <v>0</v>
      </c>
      <c r="Q307" s="102">
        <v>0</v>
      </c>
      <c r="R307" s="102">
        <v>0</v>
      </c>
      <c r="S307" s="102">
        <v>0</v>
      </c>
      <c r="T307" s="102">
        <v>7910294.62</v>
      </c>
      <c r="U307" s="102">
        <f t="shared" si="40"/>
        <v>7910294.62</v>
      </c>
      <c r="V307" s="102">
        <f t="shared" si="41"/>
        <v>7910294.62</v>
      </c>
      <c r="W307" s="190">
        <v>0</v>
      </c>
      <c r="X307" s="190">
        <f t="shared" si="42"/>
        <v>7910294.62</v>
      </c>
      <c r="Y307" s="190">
        <v>0</v>
      </c>
      <c r="Z307" s="190">
        <f t="shared" si="43"/>
        <v>7910294.62</v>
      </c>
      <c r="AA307" s="213"/>
    </row>
    <row r="308" spans="1:27" ht="15.75">
      <c r="A308" s="218"/>
      <c r="B308" s="219"/>
      <c r="C308" s="212" t="s">
        <v>1563</v>
      </c>
      <c r="D308" s="65"/>
      <c r="E308" s="152">
        <f aca="true" t="shared" si="44" ref="E308:Z308">E77+E95+E276+E278+E307+E303</f>
        <v>-2969</v>
      </c>
      <c r="F308" s="152">
        <f t="shared" si="44"/>
        <v>134013509.66000001</v>
      </c>
      <c r="G308" s="104">
        <f t="shared" si="44"/>
        <v>134010540.66000001</v>
      </c>
      <c r="H308" s="104">
        <f t="shared" si="44"/>
        <v>19053165.819999997</v>
      </c>
      <c r="I308" s="104">
        <f t="shared" si="44"/>
        <v>411</v>
      </c>
      <c r="J308" s="104">
        <f t="shared" si="44"/>
        <v>0</v>
      </c>
      <c r="K308" s="104">
        <f t="shared" si="44"/>
        <v>18593.35</v>
      </c>
      <c r="L308" s="104">
        <f t="shared" si="44"/>
        <v>19004.35</v>
      </c>
      <c r="M308" s="104">
        <f t="shared" si="44"/>
        <v>0</v>
      </c>
      <c r="N308" s="104">
        <f t="shared" si="44"/>
        <v>0</v>
      </c>
      <c r="O308" s="104">
        <f t="shared" si="44"/>
        <v>0</v>
      </c>
      <c r="P308" s="104">
        <f t="shared" si="44"/>
        <v>0</v>
      </c>
      <c r="Q308" s="104">
        <f t="shared" si="44"/>
        <v>6137408.01</v>
      </c>
      <c r="R308" s="104">
        <f t="shared" si="44"/>
        <v>708854.23</v>
      </c>
      <c r="S308" s="104">
        <f t="shared" si="44"/>
        <v>0</v>
      </c>
      <c r="T308" s="104">
        <f t="shared" si="44"/>
        <v>1066871.2199999988</v>
      </c>
      <c r="U308" s="104">
        <f t="shared" si="44"/>
        <v>7913133.459999999</v>
      </c>
      <c r="V308" s="104">
        <f t="shared" si="44"/>
        <v>160995844.29000005</v>
      </c>
      <c r="W308" s="152">
        <f t="shared" si="44"/>
        <v>0</v>
      </c>
      <c r="X308" s="152">
        <f t="shared" si="44"/>
        <v>160995844.29000005</v>
      </c>
      <c r="Y308" s="152">
        <f t="shared" si="44"/>
        <v>51748531.7</v>
      </c>
      <c r="Z308" s="152">
        <f t="shared" si="44"/>
        <v>212744375.99000004</v>
      </c>
      <c r="AA308" s="211"/>
    </row>
    <row r="309" spans="2:26" ht="12.75">
      <c r="B309" s="219"/>
      <c r="C309" s="220"/>
      <c r="D309" s="74"/>
      <c r="E309" s="190"/>
      <c r="F309" s="190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90"/>
      <c r="X309" s="190"/>
      <c r="Y309" s="190"/>
      <c r="Z309" s="190"/>
    </row>
    <row r="310" spans="1:27" ht="15">
      <c r="A310" s="211"/>
      <c r="B310" s="219" t="s">
        <v>107</v>
      </c>
      <c r="C310" s="220"/>
      <c r="D310" s="74"/>
      <c r="E310" s="190"/>
      <c r="F310" s="190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90"/>
      <c r="X310" s="190"/>
      <c r="Y310" s="190"/>
      <c r="Z310" s="190"/>
      <c r="AA310" s="211"/>
    </row>
    <row r="311" spans="1:27" ht="15.75">
      <c r="A311" s="218"/>
      <c r="B311" s="219" t="s">
        <v>108</v>
      </c>
      <c r="C311" s="220"/>
      <c r="D311" s="74"/>
      <c r="E311" s="152">
        <f aca="true" t="shared" si="45" ref="E311:Z311">E61-E308</f>
        <v>-10048.24</v>
      </c>
      <c r="F311" s="152">
        <f t="shared" si="45"/>
        <v>-39518676.84</v>
      </c>
      <c r="G311" s="104">
        <f t="shared" si="45"/>
        <v>-39528725.08000001</v>
      </c>
      <c r="H311" s="104">
        <f t="shared" si="45"/>
        <v>-7898629.549999997</v>
      </c>
      <c r="I311" s="104">
        <f t="shared" si="45"/>
        <v>18512.85</v>
      </c>
      <c r="J311" s="104">
        <f t="shared" si="45"/>
        <v>0</v>
      </c>
      <c r="K311" s="104">
        <f t="shared" si="45"/>
        <v>243231.54</v>
      </c>
      <c r="L311" s="104">
        <f t="shared" si="45"/>
        <v>261744.38999999998</v>
      </c>
      <c r="M311" s="104">
        <f t="shared" si="45"/>
        <v>0</v>
      </c>
      <c r="N311" s="104">
        <f t="shared" si="45"/>
        <v>0</v>
      </c>
      <c r="O311" s="104">
        <f t="shared" si="45"/>
        <v>0</v>
      </c>
      <c r="P311" s="104">
        <f t="shared" si="45"/>
        <v>0</v>
      </c>
      <c r="Q311" s="104">
        <f t="shared" si="45"/>
        <v>-6137408.01</v>
      </c>
      <c r="R311" s="104">
        <f t="shared" si="45"/>
        <v>-708854.23</v>
      </c>
      <c r="S311" s="104">
        <f t="shared" si="45"/>
        <v>0</v>
      </c>
      <c r="T311" s="104">
        <f t="shared" si="45"/>
        <v>-1066871.2199999988</v>
      </c>
      <c r="U311" s="104">
        <f t="shared" si="45"/>
        <v>-7913133.459999999</v>
      </c>
      <c r="V311" s="104">
        <f t="shared" si="45"/>
        <v>-55078743.70000003</v>
      </c>
      <c r="W311" s="152">
        <f t="shared" si="45"/>
        <v>0</v>
      </c>
      <c r="X311" s="152">
        <f t="shared" si="45"/>
        <v>-55078743.70000003</v>
      </c>
      <c r="Y311" s="152">
        <f t="shared" si="45"/>
        <v>-311001.7100000009</v>
      </c>
      <c r="Z311" s="152">
        <f t="shared" si="45"/>
        <v>-55389745.410000026</v>
      </c>
      <c r="AA311" s="211"/>
    </row>
    <row r="312" spans="2:26" ht="12.75">
      <c r="B312" s="214"/>
      <c r="C312" s="213"/>
      <c r="D312" s="215"/>
      <c r="E312" s="190"/>
      <c r="F312" s="190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90"/>
      <c r="X312" s="190"/>
      <c r="Y312" s="190"/>
      <c r="Z312" s="190"/>
    </row>
    <row r="313" spans="1:27" ht="12.75">
      <c r="A313" s="213" t="s">
        <v>1486</v>
      </c>
      <c r="B313" s="214"/>
      <c r="C313" s="213" t="s">
        <v>1566</v>
      </c>
      <c r="D313" s="215"/>
      <c r="E313" s="190">
        <v>0</v>
      </c>
      <c r="F313" s="190">
        <v>46420385</v>
      </c>
      <c r="G313" s="102">
        <f>E313+F313</f>
        <v>46420385</v>
      </c>
      <c r="H313" s="102">
        <v>7000</v>
      </c>
      <c r="I313" s="102">
        <v>0</v>
      </c>
      <c r="J313" s="102">
        <v>0</v>
      </c>
      <c r="K313" s="102">
        <v>0</v>
      </c>
      <c r="L313" s="102">
        <f>J313+I313+K313</f>
        <v>0</v>
      </c>
      <c r="M313" s="102">
        <v>0</v>
      </c>
      <c r="N313" s="102">
        <v>0</v>
      </c>
      <c r="O313" s="102">
        <v>0</v>
      </c>
      <c r="P313" s="102">
        <f>M313+N313+O313</f>
        <v>0</v>
      </c>
      <c r="Q313" s="102">
        <v>0</v>
      </c>
      <c r="R313" s="102">
        <v>0</v>
      </c>
      <c r="S313" s="102">
        <v>0</v>
      </c>
      <c r="T313" s="102">
        <v>0</v>
      </c>
      <c r="U313" s="102">
        <f>Q313+R313+S313+T313</f>
        <v>0</v>
      </c>
      <c r="V313" s="102">
        <f>G313+H313+L313+P313+U313</f>
        <v>46427385</v>
      </c>
      <c r="W313" s="190">
        <v>0</v>
      </c>
      <c r="X313" s="190">
        <f>V313+W313</f>
        <v>46427385</v>
      </c>
      <c r="Y313" s="190">
        <v>0</v>
      </c>
      <c r="Z313" s="190">
        <f>X313+Y313</f>
        <v>46427385</v>
      </c>
      <c r="AA313" s="213"/>
    </row>
    <row r="314" spans="2:26" ht="12.75">
      <c r="B314" s="214"/>
      <c r="C314" s="213"/>
      <c r="D314" s="215"/>
      <c r="E314" s="190"/>
      <c r="F314" s="190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90"/>
      <c r="X314" s="190"/>
      <c r="Y314" s="190"/>
      <c r="Z314" s="190"/>
    </row>
    <row r="315" spans="1:27" ht="15">
      <c r="A315" s="211"/>
      <c r="B315" s="219" t="s">
        <v>109</v>
      </c>
      <c r="C315" s="220"/>
      <c r="D315" s="215"/>
      <c r="E315" s="190"/>
      <c r="F315" s="190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90"/>
      <c r="X315" s="190"/>
      <c r="Y315" s="190"/>
      <c r="Z315" s="190"/>
      <c r="AA315" s="211"/>
    </row>
    <row r="316" spans="1:27" ht="15.75">
      <c r="A316" s="218"/>
      <c r="B316" s="219" t="s">
        <v>110</v>
      </c>
      <c r="C316" s="220"/>
      <c r="D316" s="74"/>
      <c r="E316" s="152">
        <f aca="true" t="shared" si="46" ref="E316:Z316">E311+E313</f>
        <v>-10048.24</v>
      </c>
      <c r="F316" s="152">
        <f t="shared" si="46"/>
        <v>6901708.159999996</v>
      </c>
      <c r="G316" s="104">
        <f t="shared" si="46"/>
        <v>6891659.919999987</v>
      </c>
      <c r="H316" s="104">
        <f t="shared" si="46"/>
        <v>-7891629.549999997</v>
      </c>
      <c r="I316" s="104">
        <f t="shared" si="46"/>
        <v>18512.85</v>
      </c>
      <c r="J316" s="104">
        <f t="shared" si="46"/>
        <v>0</v>
      </c>
      <c r="K316" s="104">
        <f t="shared" si="46"/>
        <v>243231.54</v>
      </c>
      <c r="L316" s="104">
        <f t="shared" si="46"/>
        <v>261744.38999999998</v>
      </c>
      <c r="M316" s="104">
        <f t="shared" si="46"/>
        <v>0</v>
      </c>
      <c r="N316" s="104">
        <f t="shared" si="46"/>
        <v>0</v>
      </c>
      <c r="O316" s="104">
        <f t="shared" si="46"/>
        <v>0</v>
      </c>
      <c r="P316" s="104">
        <f t="shared" si="46"/>
        <v>0</v>
      </c>
      <c r="Q316" s="104">
        <f t="shared" si="46"/>
        <v>-6137408.01</v>
      </c>
      <c r="R316" s="104">
        <f t="shared" si="46"/>
        <v>-708854.23</v>
      </c>
      <c r="S316" s="104">
        <f t="shared" si="46"/>
        <v>0</v>
      </c>
      <c r="T316" s="104">
        <f t="shared" si="46"/>
        <v>-1066871.2199999988</v>
      </c>
      <c r="U316" s="104">
        <f t="shared" si="46"/>
        <v>-7913133.459999999</v>
      </c>
      <c r="V316" s="104">
        <f t="shared" si="46"/>
        <v>-8651358.700000033</v>
      </c>
      <c r="W316" s="152">
        <f t="shared" si="46"/>
        <v>0</v>
      </c>
      <c r="X316" s="152">
        <f t="shared" si="46"/>
        <v>-8651358.700000033</v>
      </c>
      <c r="Y316" s="152">
        <f t="shared" si="46"/>
        <v>-311001.7100000009</v>
      </c>
      <c r="Z316" s="152">
        <f t="shared" si="46"/>
        <v>-8962360.410000026</v>
      </c>
      <c r="AA316" s="211"/>
    </row>
    <row r="317" spans="2:26" ht="12.75">
      <c r="B317" s="214"/>
      <c r="C317" s="213"/>
      <c r="D317" s="215"/>
      <c r="E317" s="190"/>
      <c r="F317" s="190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90"/>
      <c r="X317" s="190"/>
      <c r="Y317" s="190"/>
      <c r="Z317" s="190"/>
    </row>
    <row r="318" spans="1:27" ht="15">
      <c r="A318" s="211"/>
      <c r="B318" s="219" t="s">
        <v>1568</v>
      </c>
      <c r="C318" s="220"/>
      <c r="D318" s="74"/>
      <c r="E318" s="190"/>
      <c r="F318" s="190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90"/>
      <c r="X318" s="190"/>
      <c r="Y318" s="190"/>
      <c r="Z318" s="190"/>
      <c r="AA318" s="211"/>
    </row>
    <row r="319" spans="1:27" ht="12.75">
      <c r="A319" s="213" t="s">
        <v>111</v>
      </c>
      <c r="B319" s="214"/>
      <c r="C319" s="213" t="s">
        <v>1569</v>
      </c>
      <c r="D319" s="215"/>
      <c r="E319" s="190">
        <v>0</v>
      </c>
      <c r="F319" s="190">
        <v>0</v>
      </c>
      <c r="G319" s="102">
        <f aca="true" t="shared" si="47" ref="G319:G341">E319+F319</f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f aca="true" t="shared" si="48" ref="L319:L341">J319+I319+K319</f>
        <v>0</v>
      </c>
      <c r="M319" s="102">
        <v>0</v>
      </c>
      <c r="N319" s="102">
        <v>0</v>
      </c>
      <c r="O319" s="102">
        <v>0</v>
      </c>
      <c r="P319" s="102">
        <f aca="true" t="shared" si="49" ref="P319:P341">M319+N319+O319</f>
        <v>0</v>
      </c>
      <c r="Q319" s="102">
        <v>0</v>
      </c>
      <c r="R319" s="102">
        <v>0</v>
      </c>
      <c r="S319" s="102">
        <v>0</v>
      </c>
      <c r="T319" s="102">
        <v>0</v>
      </c>
      <c r="U319" s="102">
        <f aca="true" t="shared" si="50" ref="U319:U341">Q319+R319+S319+T319</f>
        <v>0</v>
      </c>
      <c r="V319" s="102">
        <f aca="true" t="shared" si="51" ref="V319:V341">G319+H319+L319+P319+U319</f>
        <v>0</v>
      </c>
      <c r="W319" s="190">
        <v>0</v>
      </c>
      <c r="X319" s="190">
        <f aca="true" t="shared" si="52" ref="X319:X341">V319+W319</f>
        <v>0</v>
      </c>
      <c r="Y319" s="190">
        <v>0</v>
      </c>
      <c r="Z319" s="190">
        <f aca="true" t="shared" si="53" ref="Z319:Z341">X319+Y319</f>
        <v>0</v>
      </c>
      <c r="AA319" s="213"/>
    </row>
    <row r="320" spans="1:26" ht="12.75" hidden="1" outlineLevel="1">
      <c r="A320" s="172" t="s">
        <v>112</v>
      </c>
      <c r="C320" s="173" t="s">
        <v>113</v>
      </c>
      <c r="D320" s="173" t="s">
        <v>114</v>
      </c>
      <c r="E320" s="172">
        <v>0</v>
      </c>
      <c r="F320" s="172">
        <v>0</v>
      </c>
      <c r="G320" s="221">
        <f t="shared" si="47"/>
        <v>0</v>
      </c>
      <c r="H320" s="222">
        <v>0</v>
      </c>
      <c r="I320" s="222">
        <v>0</v>
      </c>
      <c r="J320" s="222">
        <v>0</v>
      </c>
      <c r="K320" s="222">
        <v>0</v>
      </c>
      <c r="L320" s="222">
        <f t="shared" si="48"/>
        <v>0</v>
      </c>
      <c r="M320" s="222">
        <v>0</v>
      </c>
      <c r="N320" s="222">
        <v>513007.93</v>
      </c>
      <c r="O320" s="222">
        <v>37061.29</v>
      </c>
      <c r="P320" s="222">
        <f t="shared" si="49"/>
        <v>550069.22</v>
      </c>
      <c r="Q320" s="221">
        <v>0</v>
      </c>
      <c r="R320" s="221">
        <v>0</v>
      </c>
      <c r="S320" s="221">
        <v>0</v>
      </c>
      <c r="T320" s="221">
        <v>0</v>
      </c>
      <c r="U320" s="221">
        <f t="shared" si="50"/>
        <v>0</v>
      </c>
      <c r="V320" s="221">
        <f t="shared" si="51"/>
        <v>550069.22</v>
      </c>
      <c r="W320" s="172">
        <v>0</v>
      </c>
      <c r="X320" s="172">
        <f t="shared" si="52"/>
        <v>550069.22</v>
      </c>
      <c r="Y320" s="173">
        <v>7308.48</v>
      </c>
      <c r="Z320" s="172">
        <f t="shared" si="53"/>
        <v>557377.7</v>
      </c>
    </row>
    <row r="321" spans="1:26" ht="12.75" hidden="1" outlineLevel="1">
      <c r="A321" s="172" t="s">
        <v>115</v>
      </c>
      <c r="C321" s="173" t="s">
        <v>116</v>
      </c>
      <c r="D321" s="173" t="s">
        <v>117</v>
      </c>
      <c r="E321" s="172">
        <v>0</v>
      </c>
      <c r="F321" s="172">
        <v>0</v>
      </c>
      <c r="G321" s="221">
        <f t="shared" si="47"/>
        <v>0</v>
      </c>
      <c r="H321" s="222">
        <v>3314.2</v>
      </c>
      <c r="I321" s="222">
        <v>0</v>
      </c>
      <c r="J321" s="222">
        <v>0</v>
      </c>
      <c r="K321" s="222">
        <v>0</v>
      </c>
      <c r="L321" s="222">
        <f t="shared" si="48"/>
        <v>0</v>
      </c>
      <c r="M321" s="222">
        <v>0</v>
      </c>
      <c r="N321" s="222">
        <v>-222</v>
      </c>
      <c r="O321" s="222">
        <v>0</v>
      </c>
      <c r="P321" s="222">
        <f t="shared" si="49"/>
        <v>-222</v>
      </c>
      <c r="Q321" s="221">
        <v>0</v>
      </c>
      <c r="R321" s="221">
        <v>0</v>
      </c>
      <c r="S321" s="221">
        <v>0</v>
      </c>
      <c r="T321" s="221">
        <v>0</v>
      </c>
      <c r="U321" s="221">
        <f t="shared" si="50"/>
        <v>0</v>
      </c>
      <c r="V321" s="221">
        <f t="shared" si="51"/>
        <v>3092.2</v>
      </c>
      <c r="W321" s="172">
        <v>0</v>
      </c>
      <c r="X321" s="172">
        <f t="shared" si="52"/>
        <v>3092.2</v>
      </c>
      <c r="Y321" s="173">
        <v>0</v>
      </c>
      <c r="Z321" s="172">
        <f t="shared" si="53"/>
        <v>3092.2</v>
      </c>
    </row>
    <row r="322" spans="1:26" ht="12.75" hidden="1" outlineLevel="1">
      <c r="A322" s="172" t="s">
        <v>118</v>
      </c>
      <c r="C322" s="173" t="s">
        <v>119</v>
      </c>
      <c r="D322" s="173" t="s">
        <v>120</v>
      </c>
      <c r="E322" s="172">
        <v>0</v>
      </c>
      <c r="F322" s="172">
        <v>0</v>
      </c>
      <c r="G322" s="221">
        <f t="shared" si="47"/>
        <v>0</v>
      </c>
      <c r="H322" s="222">
        <v>1248745.14</v>
      </c>
      <c r="I322" s="222">
        <v>0</v>
      </c>
      <c r="J322" s="222">
        <v>0</v>
      </c>
      <c r="K322" s="222">
        <v>0</v>
      </c>
      <c r="L322" s="222">
        <f t="shared" si="48"/>
        <v>0</v>
      </c>
      <c r="M322" s="222">
        <v>0</v>
      </c>
      <c r="N322" s="222">
        <v>-1197649.29</v>
      </c>
      <c r="O322" s="222">
        <v>-40914.9</v>
      </c>
      <c r="P322" s="222">
        <f t="shared" si="49"/>
        <v>-1238564.19</v>
      </c>
      <c r="Q322" s="221">
        <v>0</v>
      </c>
      <c r="R322" s="221">
        <v>0</v>
      </c>
      <c r="S322" s="221">
        <v>0</v>
      </c>
      <c r="T322" s="221">
        <v>0</v>
      </c>
      <c r="U322" s="221">
        <f t="shared" si="50"/>
        <v>0</v>
      </c>
      <c r="V322" s="221">
        <f t="shared" si="51"/>
        <v>10180.949999999953</v>
      </c>
      <c r="W322" s="172">
        <v>0</v>
      </c>
      <c r="X322" s="172">
        <f t="shared" si="52"/>
        <v>10180.949999999953</v>
      </c>
      <c r="Y322" s="173">
        <v>0</v>
      </c>
      <c r="Z322" s="172">
        <f t="shared" si="53"/>
        <v>10180.949999999953</v>
      </c>
    </row>
    <row r="323" spans="1:26" ht="12.75" hidden="1" outlineLevel="1">
      <c r="A323" s="172" t="s">
        <v>121</v>
      </c>
      <c r="C323" s="173" t="s">
        <v>122</v>
      </c>
      <c r="D323" s="173" t="s">
        <v>123</v>
      </c>
      <c r="E323" s="172">
        <v>0</v>
      </c>
      <c r="F323" s="172">
        <v>0</v>
      </c>
      <c r="G323" s="221">
        <f t="shared" si="47"/>
        <v>0</v>
      </c>
      <c r="H323" s="222">
        <v>772585.25</v>
      </c>
      <c r="I323" s="222">
        <v>0</v>
      </c>
      <c r="J323" s="222">
        <v>0</v>
      </c>
      <c r="K323" s="222">
        <v>0</v>
      </c>
      <c r="L323" s="222">
        <f t="shared" si="48"/>
        <v>0</v>
      </c>
      <c r="M323" s="222">
        <v>0</v>
      </c>
      <c r="N323" s="222">
        <v>0</v>
      </c>
      <c r="O323" s="222">
        <v>0</v>
      </c>
      <c r="P323" s="222">
        <f t="shared" si="49"/>
        <v>0</v>
      </c>
      <c r="Q323" s="221">
        <v>0</v>
      </c>
      <c r="R323" s="221">
        <v>0</v>
      </c>
      <c r="S323" s="221">
        <v>0</v>
      </c>
      <c r="T323" s="221">
        <v>0</v>
      </c>
      <c r="U323" s="221">
        <f t="shared" si="50"/>
        <v>0</v>
      </c>
      <c r="V323" s="221">
        <f t="shared" si="51"/>
        <v>772585.25</v>
      </c>
      <c r="W323" s="172">
        <v>0</v>
      </c>
      <c r="X323" s="172">
        <f t="shared" si="52"/>
        <v>772585.25</v>
      </c>
      <c r="Y323" s="173">
        <v>0</v>
      </c>
      <c r="Z323" s="172">
        <f t="shared" si="53"/>
        <v>772585.25</v>
      </c>
    </row>
    <row r="324" spans="1:26" ht="12.75" hidden="1" outlineLevel="1">
      <c r="A324" s="172" t="s">
        <v>124</v>
      </c>
      <c r="C324" s="173" t="s">
        <v>125</v>
      </c>
      <c r="D324" s="173" t="s">
        <v>126</v>
      </c>
      <c r="E324" s="172">
        <v>0</v>
      </c>
      <c r="F324" s="172">
        <v>0</v>
      </c>
      <c r="G324" s="221">
        <f t="shared" si="47"/>
        <v>0</v>
      </c>
      <c r="H324" s="222">
        <v>0</v>
      </c>
      <c r="I324" s="222">
        <v>0</v>
      </c>
      <c r="J324" s="222">
        <v>0</v>
      </c>
      <c r="K324" s="222">
        <v>0</v>
      </c>
      <c r="L324" s="222">
        <f t="shared" si="48"/>
        <v>0</v>
      </c>
      <c r="M324" s="222">
        <v>0</v>
      </c>
      <c r="N324" s="222">
        <v>-424.78</v>
      </c>
      <c r="O324" s="222">
        <v>90201.51</v>
      </c>
      <c r="P324" s="222">
        <f t="shared" si="49"/>
        <v>89776.73</v>
      </c>
      <c r="Q324" s="221">
        <v>0</v>
      </c>
      <c r="R324" s="221">
        <v>0</v>
      </c>
      <c r="S324" s="221">
        <v>0</v>
      </c>
      <c r="T324" s="221">
        <v>0</v>
      </c>
      <c r="U324" s="221">
        <f t="shared" si="50"/>
        <v>0</v>
      </c>
      <c r="V324" s="221">
        <f t="shared" si="51"/>
        <v>89776.73</v>
      </c>
      <c r="W324" s="172">
        <v>0</v>
      </c>
      <c r="X324" s="172">
        <f t="shared" si="52"/>
        <v>89776.73</v>
      </c>
      <c r="Y324" s="173">
        <v>0</v>
      </c>
      <c r="Z324" s="172">
        <f t="shared" si="53"/>
        <v>89776.73</v>
      </c>
    </row>
    <row r="325" spans="1:26" ht="12.75" hidden="1" outlineLevel="1">
      <c r="A325" s="172" t="s">
        <v>127</v>
      </c>
      <c r="C325" s="173" t="s">
        <v>128</v>
      </c>
      <c r="D325" s="173" t="s">
        <v>129</v>
      </c>
      <c r="E325" s="172">
        <v>0</v>
      </c>
      <c r="F325" s="172">
        <v>0</v>
      </c>
      <c r="G325" s="221">
        <f t="shared" si="47"/>
        <v>0</v>
      </c>
      <c r="H325" s="222">
        <v>65.89</v>
      </c>
      <c r="I325" s="222">
        <v>0</v>
      </c>
      <c r="J325" s="222">
        <v>0</v>
      </c>
      <c r="K325" s="222">
        <v>0</v>
      </c>
      <c r="L325" s="222">
        <f t="shared" si="48"/>
        <v>0</v>
      </c>
      <c r="M325" s="222">
        <v>0</v>
      </c>
      <c r="N325" s="222">
        <v>6.23</v>
      </c>
      <c r="O325" s="222">
        <v>0</v>
      </c>
      <c r="P325" s="222">
        <f t="shared" si="49"/>
        <v>6.23</v>
      </c>
      <c r="Q325" s="221">
        <v>0</v>
      </c>
      <c r="R325" s="221">
        <v>0</v>
      </c>
      <c r="S325" s="221">
        <v>0</v>
      </c>
      <c r="T325" s="221">
        <v>0</v>
      </c>
      <c r="U325" s="221">
        <f t="shared" si="50"/>
        <v>0</v>
      </c>
      <c r="V325" s="221">
        <f t="shared" si="51"/>
        <v>72.12</v>
      </c>
      <c r="W325" s="172">
        <v>0</v>
      </c>
      <c r="X325" s="172">
        <f t="shared" si="52"/>
        <v>72.12</v>
      </c>
      <c r="Y325" s="173">
        <v>0</v>
      </c>
      <c r="Z325" s="172">
        <f t="shared" si="53"/>
        <v>72.12</v>
      </c>
    </row>
    <row r="326" spans="1:26" ht="12.75" hidden="1" outlineLevel="1">
      <c r="A326" s="172" t="s">
        <v>130</v>
      </c>
      <c r="C326" s="173" t="s">
        <v>131</v>
      </c>
      <c r="D326" s="173" t="s">
        <v>132</v>
      </c>
      <c r="E326" s="172">
        <v>0</v>
      </c>
      <c r="F326" s="172">
        <v>0</v>
      </c>
      <c r="G326" s="221">
        <f t="shared" si="47"/>
        <v>0</v>
      </c>
      <c r="H326" s="222">
        <v>0</v>
      </c>
      <c r="I326" s="222">
        <v>0</v>
      </c>
      <c r="J326" s="222">
        <v>0</v>
      </c>
      <c r="K326" s="222">
        <v>0</v>
      </c>
      <c r="L326" s="222">
        <f t="shared" si="48"/>
        <v>0</v>
      </c>
      <c r="M326" s="222">
        <v>0</v>
      </c>
      <c r="N326" s="222">
        <v>0</v>
      </c>
      <c r="O326" s="222">
        <v>1559.41</v>
      </c>
      <c r="P326" s="222">
        <f t="shared" si="49"/>
        <v>1559.41</v>
      </c>
      <c r="Q326" s="221">
        <v>0</v>
      </c>
      <c r="R326" s="221">
        <v>0</v>
      </c>
      <c r="S326" s="221">
        <v>0</v>
      </c>
      <c r="T326" s="221">
        <v>0</v>
      </c>
      <c r="U326" s="221">
        <f t="shared" si="50"/>
        <v>0</v>
      </c>
      <c r="V326" s="221">
        <f t="shared" si="51"/>
        <v>1559.41</v>
      </c>
      <c r="W326" s="172">
        <v>0</v>
      </c>
      <c r="X326" s="172">
        <f t="shared" si="52"/>
        <v>1559.41</v>
      </c>
      <c r="Y326" s="173">
        <v>0</v>
      </c>
      <c r="Z326" s="172">
        <f t="shared" si="53"/>
        <v>1559.41</v>
      </c>
    </row>
    <row r="327" spans="1:26" ht="12.75" hidden="1" outlineLevel="1">
      <c r="A327" s="172" t="s">
        <v>133</v>
      </c>
      <c r="C327" s="173" t="s">
        <v>134</v>
      </c>
      <c r="D327" s="173" t="s">
        <v>135</v>
      </c>
      <c r="E327" s="172">
        <v>-14.42</v>
      </c>
      <c r="F327" s="172">
        <v>8178.14</v>
      </c>
      <c r="G327" s="221">
        <f t="shared" si="47"/>
        <v>8163.72</v>
      </c>
      <c r="H327" s="222">
        <v>324559.89</v>
      </c>
      <c r="I327" s="222">
        <v>2061.45</v>
      </c>
      <c r="J327" s="222">
        <v>0</v>
      </c>
      <c r="K327" s="222">
        <v>15158.82</v>
      </c>
      <c r="L327" s="222">
        <f t="shared" si="48"/>
        <v>17220.27</v>
      </c>
      <c r="M327" s="222">
        <v>0</v>
      </c>
      <c r="N327" s="222">
        <v>16994.9</v>
      </c>
      <c r="O327" s="222">
        <v>705.87</v>
      </c>
      <c r="P327" s="222">
        <f t="shared" si="49"/>
        <v>17700.77</v>
      </c>
      <c r="Q327" s="221">
        <v>114982.94</v>
      </c>
      <c r="R327" s="221">
        <v>17541.76</v>
      </c>
      <c r="S327" s="221">
        <v>0</v>
      </c>
      <c r="T327" s="221">
        <v>0</v>
      </c>
      <c r="U327" s="221">
        <f t="shared" si="50"/>
        <v>132524.7</v>
      </c>
      <c r="V327" s="221">
        <f t="shared" si="51"/>
        <v>500169.35000000003</v>
      </c>
      <c r="W327" s="172">
        <v>0</v>
      </c>
      <c r="X327" s="172">
        <f t="shared" si="52"/>
        <v>500169.35000000003</v>
      </c>
      <c r="Y327" s="173">
        <v>648.34</v>
      </c>
      <c r="Z327" s="172">
        <f t="shared" si="53"/>
        <v>500817.69000000006</v>
      </c>
    </row>
    <row r="328" spans="1:26" ht="12.75" hidden="1" outlineLevel="1">
      <c r="A328" s="172" t="s">
        <v>136</v>
      </c>
      <c r="C328" s="173" t="s">
        <v>137</v>
      </c>
      <c r="D328" s="173" t="s">
        <v>138</v>
      </c>
      <c r="E328" s="172">
        <v>0</v>
      </c>
      <c r="F328" s="172">
        <v>-3.17</v>
      </c>
      <c r="G328" s="221">
        <f t="shared" si="47"/>
        <v>-3.17</v>
      </c>
      <c r="H328" s="222">
        <v>881.1</v>
      </c>
      <c r="I328" s="222">
        <v>0</v>
      </c>
      <c r="J328" s="222">
        <v>0</v>
      </c>
      <c r="K328" s="222">
        <v>0</v>
      </c>
      <c r="L328" s="222">
        <f t="shared" si="48"/>
        <v>0</v>
      </c>
      <c r="M328" s="222">
        <v>0</v>
      </c>
      <c r="N328" s="222">
        <v>1788914.95</v>
      </c>
      <c r="O328" s="222">
        <v>153569.86</v>
      </c>
      <c r="P328" s="222">
        <f t="shared" si="49"/>
        <v>1942484.81</v>
      </c>
      <c r="Q328" s="221">
        <v>0</v>
      </c>
      <c r="R328" s="221">
        <v>0</v>
      </c>
      <c r="S328" s="221">
        <v>0</v>
      </c>
      <c r="T328" s="221">
        <v>0</v>
      </c>
      <c r="U328" s="221">
        <f t="shared" si="50"/>
        <v>0</v>
      </c>
      <c r="V328" s="221">
        <f t="shared" si="51"/>
        <v>1943362.74</v>
      </c>
      <c r="W328" s="172">
        <v>0</v>
      </c>
      <c r="X328" s="172">
        <f t="shared" si="52"/>
        <v>1943362.74</v>
      </c>
      <c r="Y328" s="173">
        <v>25640.77</v>
      </c>
      <c r="Z328" s="172">
        <f t="shared" si="53"/>
        <v>1969003.51</v>
      </c>
    </row>
    <row r="329" spans="1:26" ht="12.75" hidden="1" outlineLevel="1">
      <c r="A329" s="172" t="s">
        <v>139</v>
      </c>
      <c r="C329" s="173" t="s">
        <v>140</v>
      </c>
      <c r="D329" s="173" t="s">
        <v>141</v>
      </c>
      <c r="E329" s="172">
        <v>0</v>
      </c>
      <c r="F329" s="172">
        <v>0</v>
      </c>
      <c r="G329" s="221">
        <f t="shared" si="47"/>
        <v>0</v>
      </c>
      <c r="H329" s="222">
        <v>-3.33</v>
      </c>
      <c r="I329" s="222">
        <v>0</v>
      </c>
      <c r="J329" s="222">
        <v>0</v>
      </c>
      <c r="K329" s="222">
        <v>0</v>
      </c>
      <c r="L329" s="222">
        <f t="shared" si="48"/>
        <v>0</v>
      </c>
      <c r="M329" s="222">
        <v>0</v>
      </c>
      <c r="N329" s="222">
        <v>2104452.91</v>
      </c>
      <c r="O329" s="222">
        <v>520967.11</v>
      </c>
      <c r="P329" s="222">
        <f t="shared" si="49"/>
        <v>2625420.02</v>
      </c>
      <c r="Q329" s="221">
        <v>0</v>
      </c>
      <c r="R329" s="221">
        <v>0</v>
      </c>
      <c r="S329" s="221">
        <v>0</v>
      </c>
      <c r="T329" s="221">
        <v>0</v>
      </c>
      <c r="U329" s="221">
        <f t="shared" si="50"/>
        <v>0</v>
      </c>
      <c r="V329" s="221">
        <f t="shared" si="51"/>
        <v>2625416.69</v>
      </c>
      <c r="W329" s="172">
        <v>0</v>
      </c>
      <c r="X329" s="172">
        <f t="shared" si="52"/>
        <v>2625416.69</v>
      </c>
      <c r="Y329" s="173">
        <v>31284.73</v>
      </c>
      <c r="Z329" s="172">
        <f t="shared" si="53"/>
        <v>2656701.42</v>
      </c>
    </row>
    <row r="330" spans="1:27" ht="12.75" collapsed="1">
      <c r="A330" s="213" t="s">
        <v>142</v>
      </c>
      <c r="B330" s="214"/>
      <c r="C330" s="213" t="s">
        <v>143</v>
      </c>
      <c r="D330" s="215"/>
      <c r="E330" s="190">
        <v>-14.42</v>
      </c>
      <c r="F330" s="190">
        <v>8174.97</v>
      </c>
      <c r="G330" s="102">
        <f t="shared" si="47"/>
        <v>8160.55</v>
      </c>
      <c r="H330" s="102">
        <v>2350148.14</v>
      </c>
      <c r="I330" s="102">
        <v>2061.45</v>
      </c>
      <c r="J330" s="102">
        <v>0</v>
      </c>
      <c r="K330" s="102">
        <v>15158.82</v>
      </c>
      <c r="L330" s="102">
        <f t="shared" si="48"/>
        <v>17220.27</v>
      </c>
      <c r="M330" s="102">
        <v>0</v>
      </c>
      <c r="N330" s="102">
        <v>3225080.85</v>
      </c>
      <c r="O330" s="102">
        <v>763150.15</v>
      </c>
      <c r="P330" s="102">
        <f t="shared" si="49"/>
        <v>3988231</v>
      </c>
      <c r="Q330" s="102">
        <v>114982.94</v>
      </c>
      <c r="R330" s="102">
        <v>17541.76</v>
      </c>
      <c r="S330" s="102">
        <v>0</v>
      </c>
      <c r="T330" s="102">
        <v>0</v>
      </c>
      <c r="U330" s="102">
        <f t="shared" si="50"/>
        <v>132524.7</v>
      </c>
      <c r="V330" s="102">
        <f t="shared" si="51"/>
        <v>6496284.66</v>
      </c>
      <c r="W330" s="190">
        <v>0</v>
      </c>
      <c r="X330" s="190">
        <f t="shared" si="52"/>
        <v>6496284.66</v>
      </c>
      <c r="Y330" s="190">
        <v>64882.32</v>
      </c>
      <c r="Z330" s="190">
        <f t="shared" si="53"/>
        <v>6561166.98</v>
      </c>
      <c r="AA330" s="213"/>
    </row>
    <row r="331" spans="1:27" ht="12.75">
      <c r="A331" s="213" t="s">
        <v>1486</v>
      </c>
      <c r="B331" s="214"/>
      <c r="C331" s="213" t="s">
        <v>1571</v>
      </c>
      <c r="D331" s="215"/>
      <c r="E331" s="190">
        <v>10062.66</v>
      </c>
      <c r="F331" s="190">
        <v>77480.59</v>
      </c>
      <c r="G331" s="102">
        <f t="shared" si="47"/>
        <v>87543.25</v>
      </c>
      <c r="H331" s="102">
        <v>4971221.71</v>
      </c>
      <c r="I331" s="102">
        <v>0</v>
      </c>
      <c r="J331" s="102">
        <v>0</v>
      </c>
      <c r="K331" s="102">
        <v>0</v>
      </c>
      <c r="L331" s="102">
        <f t="shared" si="48"/>
        <v>0</v>
      </c>
      <c r="M331" s="102">
        <v>0</v>
      </c>
      <c r="N331" s="102">
        <v>0</v>
      </c>
      <c r="O331" s="102">
        <v>0</v>
      </c>
      <c r="P331" s="102">
        <f t="shared" si="49"/>
        <v>0</v>
      </c>
      <c r="Q331" s="102">
        <v>0</v>
      </c>
      <c r="R331" s="102">
        <v>0</v>
      </c>
      <c r="S331" s="102">
        <v>0</v>
      </c>
      <c r="T331" s="102">
        <v>0</v>
      </c>
      <c r="U331" s="102">
        <f t="shared" si="50"/>
        <v>0</v>
      </c>
      <c r="V331" s="102">
        <f t="shared" si="51"/>
        <v>5058764.96</v>
      </c>
      <c r="W331" s="190">
        <v>0</v>
      </c>
      <c r="X331" s="190">
        <f t="shared" si="52"/>
        <v>5058764.96</v>
      </c>
      <c r="Y331" s="190">
        <v>428861.54</v>
      </c>
      <c r="Z331" s="190">
        <f t="shared" si="53"/>
        <v>5487626.5</v>
      </c>
      <c r="AA331" s="213"/>
    </row>
    <row r="332" spans="1:26" ht="12.75" hidden="1" outlineLevel="1">
      <c r="A332" s="172" t="s">
        <v>144</v>
      </c>
      <c r="C332" s="173" t="s">
        <v>145</v>
      </c>
      <c r="D332" s="173" t="s">
        <v>146</v>
      </c>
      <c r="E332" s="172">
        <v>0</v>
      </c>
      <c r="F332" s="172">
        <v>0</v>
      </c>
      <c r="G332" s="221">
        <f t="shared" si="47"/>
        <v>0</v>
      </c>
      <c r="H332" s="222">
        <v>0</v>
      </c>
      <c r="I332" s="222">
        <v>0</v>
      </c>
      <c r="J332" s="222">
        <v>0</v>
      </c>
      <c r="K332" s="222">
        <v>0</v>
      </c>
      <c r="L332" s="222">
        <f t="shared" si="48"/>
        <v>0</v>
      </c>
      <c r="M332" s="222">
        <v>0</v>
      </c>
      <c r="N332" s="222">
        <v>0</v>
      </c>
      <c r="O332" s="222">
        <v>0</v>
      </c>
      <c r="P332" s="222">
        <f t="shared" si="49"/>
        <v>0</v>
      </c>
      <c r="Q332" s="221">
        <v>0</v>
      </c>
      <c r="R332" s="221">
        <v>0</v>
      </c>
      <c r="S332" s="221">
        <v>35709.47</v>
      </c>
      <c r="T332" s="221">
        <v>1153340.62</v>
      </c>
      <c r="U332" s="221">
        <f t="shared" si="50"/>
        <v>1189050.09</v>
      </c>
      <c r="V332" s="221">
        <f t="shared" si="51"/>
        <v>1189050.09</v>
      </c>
      <c r="W332" s="172">
        <v>0</v>
      </c>
      <c r="X332" s="172">
        <f t="shared" si="52"/>
        <v>1189050.09</v>
      </c>
      <c r="Y332" s="173">
        <v>0</v>
      </c>
      <c r="Z332" s="172">
        <f t="shared" si="53"/>
        <v>1189050.09</v>
      </c>
    </row>
    <row r="333" spans="1:26" ht="12.75" hidden="1" outlineLevel="1">
      <c r="A333" s="172" t="s">
        <v>147</v>
      </c>
      <c r="C333" s="173" t="s">
        <v>148</v>
      </c>
      <c r="D333" s="173" t="s">
        <v>149</v>
      </c>
      <c r="E333" s="172">
        <v>0</v>
      </c>
      <c r="F333" s="172">
        <v>0</v>
      </c>
      <c r="G333" s="221">
        <f t="shared" si="47"/>
        <v>0</v>
      </c>
      <c r="H333" s="222">
        <v>0</v>
      </c>
      <c r="I333" s="222">
        <v>0</v>
      </c>
      <c r="J333" s="222">
        <v>0</v>
      </c>
      <c r="K333" s="222">
        <v>0</v>
      </c>
      <c r="L333" s="222">
        <f t="shared" si="48"/>
        <v>0</v>
      </c>
      <c r="M333" s="222">
        <v>0</v>
      </c>
      <c r="N333" s="222">
        <v>0</v>
      </c>
      <c r="O333" s="222">
        <v>0</v>
      </c>
      <c r="P333" s="222">
        <f t="shared" si="49"/>
        <v>0</v>
      </c>
      <c r="Q333" s="221">
        <v>0</v>
      </c>
      <c r="R333" s="221">
        <v>0</v>
      </c>
      <c r="S333" s="221">
        <v>-1189051.09</v>
      </c>
      <c r="T333" s="221">
        <v>0</v>
      </c>
      <c r="U333" s="221">
        <f t="shared" si="50"/>
        <v>-1189051.09</v>
      </c>
      <c r="V333" s="221">
        <f t="shared" si="51"/>
        <v>-1189051.09</v>
      </c>
      <c r="W333" s="172">
        <v>0</v>
      </c>
      <c r="X333" s="172">
        <f t="shared" si="52"/>
        <v>-1189051.09</v>
      </c>
      <c r="Y333" s="173">
        <v>0</v>
      </c>
      <c r="Z333" s="172">
        <f t="shared" si="53"/>
        <v>-1189051.09</v>
      </c>
    </row>
    <row r="334" spans="1:26" ht="12.75" hidden="1" outlineLevel="1">
      <c r="A334" s="172" t="s">
        <v>150</v>
      </c>
      <c r="C334" s="173" t="s">
        <v>151</v>
      </c>
      <c r="D334" s="173" t="s">
        <v>152</v>
      </c>
      <c r="E334" s="172">
        <v>0</v>
      </c>
      <c r="F334" s="172">
        <v>0</v>
      </c>
      <c r="G334" s="221">
        <f t="shared" si="47"/>
        <v>0</v>
      </c>
      <c r="H334" s="222">
        <v>0</v>
      </c>
      <c r="I334" s="222">
        <v>0</v>
      </c>
      <c r="J334" s="222">
        <v>0</v>
      </c>
      <c r="K334" s="222">
        <v>0</v>
      </c>
      <c r="L334" s="222">
        <f t="shared" si="48"/>
        <v>0</v>
      </c>
      <c r="M334" s="222">
        <v>0</v>
      </c>
      <c r="N334" s="222">
        <v>0</v>
      </c>
      <c r="O334" s="222">
        <v>0</v>
      </c>
      <c r="P334" s="222">
        <f t="shared" si="49"/>
        <v>0</v>
      </c>
      <c r="Q334" s="221">
        <v>0</v>
      </c>
      <c r="R334" s="221">
        <v>0</v>
      </c>
      <c r="S334" s="221">
        <v>-2763342.31</v>
      </c>
      <c r="T334" s="221">
        <v>0</v>
      </c>
      <c r="U334" s="221">
        <f t="shared" si="50"/>
        <v>-2763342.31</v>
      </c>
      <c r="V334" s="221">
        <f t="shared" si="51"/>
        <v>-2763342.31</v>
      </c>
      <c r="W334" s="172">
        <v>0</v>
      </c>
      <c r="X334" s="172">
        <f t="shared" si="52"/>
        <v>-2763342.31</v>
      </c>
      <c r="Y334" s="173">
        <v>0</v>
      </c>
      <c r="Z334" s="172">
        <f t="shared" si="53"/>
        <v>-2763342.31</v>
      </c>
    </row>
    <row r="335" spans="1:26" ht="12.75" hidden="1" outlineLevel="1">
      <c r="A335" s="172" t="s">
        <v>153</v>
      </c>
      <c r="C335" s="173" t="s">
        <v>154</v>
      </c>
      <c r="D335" s="173" t="s">
        <v>155</v>
      </c>
      <c r="E335" s="172">
        <v>0</v>
      </c>
      <c r="F335" s="172">
        <v>0</v>
      </c>
      <c r="G335" s="221">
        <f t="shared" si="47"/>
        <v>0</v>
      </c>
      <c r="H335" s="222">
        <v>0</v>
      </c>
      <c r="I335" s="222">
        <v>0</v>
      </c>
      <c r="J335" s="222">
        <v>0</v>
      </c>
      <c r="K335" s="222">
        <v>0</v>
      </c>
      <c r="L335" s="222">
        <f t="shared" si="48"/>
        <v>0</v>
      </c>
      <c r="M335" s="222">
        <v>0</v>
      </c>
      <c r="N335" s="222">
        <v>0</v>
      </c>
      <c r="O335" s="222">
        <v>0</v>
      </c>
      <c r="P335" s="222">
        <f t="shared" si="49"/>
        <v>0</v>
      </c>
      <c r="Q335" s="221">
        <v>0</v>
      </c>
      <c r="R335" s="221">
        <v>0</v>
      </c>
      <c r="S335" s="221">
        <v>911.94</v>
      </c>
      <c r="T335" s="221">
        <v>0</v>
      </c>
      <c r="U335" s="221">
        <f t="shared" si="50"/>
        <v>911.94</v>
      </c>
      <c r="V335" s="221">
        <f t="shared" si="51"/>
        <v>911.94</v>
      </c>
      <c r="W335" s="172">
        <v>0</v>
      </c>
      <c r="X335" s="172">
        <f t="shared" si="52"/>
        <v>911.94</v>
      </c>
      <c r="Y335" s="173">
        <v>0</v>
      </c>
      <c r="Z335" s="172">
        <f t="shared" si="53"/>
        <v>911.94</v>
      </c>
    </row>
    <row r="336" spans="1:26" ht="12.75" hidden="1" outlineLevel="1">
      <c r="A336" s="172" t="s">
        <v>156</v>
      </c>
      <c r="C336" s="173" t="s">
        <v>157</v>
      </c>
      <c r="D336" s="173" t="s">
        <v>158</v>
      </c>
      <c r="E336" s="172">
        <v>0</v>
      </c>
      <c r="F336" s="172">
        <v>0</v>
      </c>
      <c r="G336" s="221">
        <f t="shared" si="47"/>
        <v>0</v>
      </c>
      <c r="H336" s="222">
        <v>0</v>
      </c>
      <c r="I336" s="222">
        <v>0</v>
      </c>
      <c r="J336" s="222">
        <v>0</v>
      </c>
      <c r="K336" s="222">
        <v>0</v>
      </c>
      <c r="L336" s="222">
        <f t="shared" si="48"/>
        <v>0</v>
      </c>
      <c r="M336" s="222">
        <v>0</v>
      </c>
      <c r="N336" s="222">
        <v>0</v>
      </c>
      <c r="O336" s="222">
        <v>0</v>
      </c>
      <c r="P336" s="222">
        <f t="shared" si="49"/>
        <v>0</v>
      </c>
      <c r="Q336" s="221">
        <v>0</v>
      </c>
      <c r="R336" s="221">
        <v>0</v>
      </c>
      <c r="S336" s="221">
        <v>-36621.42</v>
      </c>
      <c r="T336" s="221">
        <v>0</v>
      </c>
      <c r="U336" s="221">
        <f t="shared" si="50"/>
        <v>-36621.42</v>
      </c>
      <c r="V336" s="221">
        <f t="shared" si="51"/>
        <v>-36621.42</v>
      </c>
      <c r="W336" s="172">
        <v>0</v>
      </c>
      <c r="X336" s="172">
        <f t="shared" si="52"/>
        <v>-36621.42</v>
      </c>
      <c r="Y336" s="173">
        <v>0</v>
      </c>
      <c r="Z336" s="172">
        <f t="shared" si="53"/>
        <v>-36621.42</v>
      </c>
    </row>
    <row r="337" spans="1:26" ht="12.75" hidden="1" outlineLevel="1">
      <c r="A337" s="172" t="s">
        <v>159</v>
      </c>
      <c r="C337" s="173" t="s">
        <v>160</v>
      </c>
      <c r="D337" s="173" t="s">
        <v>161</v>
      </c>
      <c r="E337" s="172">
        <v>0</v>
      </c>
      <c r="F337" s="172">
        <v>0</v>
      </c>
      <c r="G337" s="221">
        <f t="shared" si="47"/>
        <v>0</v>
      </c>
      <c r="H337" s="222">
        <v>0</v>
      </c>
      <c r="I337" s="222">
        <v>0</v>
      </c>
      <c r="J337" s="222">
        <v>0</v>
      </c>
      <c r="K337" s="222">
        <v>0</v>
      </c>
      <c r="L337" s="222">
        <f t="shared" si="48"/>
        <v>0</v>
      </c>
      <c r="M337" s="222">
        <v>0</v>
      </c>
      <c r="N337" s="222">
        <v>0</v>
      </c>
      <c r="O337" s="222">
        <v>0</v>
      </c>
      <c r="P337" s="222">
        <f t="shared" si="49"/>
        <v>0</v>
      </c>
      <c r="Q337" s="221">
        <v>0</v>
      </c>
      <c r="R337" s="221">
        <v>0</v>
      </c>
      <c r="S337" s="221">
        <v>-61640.79</v>
      </c>
      <c r="T337" s="221">
        <v>0</v>
      </c>
      <c r="U337" s="221">
        <f t="shared" si="50"/>
        <v>-61640.79</v>
      </c>
      <c r="V337" s="221">
        <f t="shared" si="51"/>
        <v>-61640.79</v>
      </c>
      <c r="W337" s="172">
        <v>0</v>
      </c>
      <c r="X337" s="172">
        <f t="shared" si="52"/>
        <v>-61640.79</v>
      </c>
      <c r="Y337" s="173">
        <v>0</v>
      </c>
      <c r="Z337" s="172">
        <f t="shared" si="53"/>
        <v>-61640.79</v>
      </c>
    </row>
    <row r="338" spans="1:27" ht="12.75" collapsed="1">
      <c r="A338" s="213" t="s">
        <v>162</v>
      </c>
      <c r="B338" s="214"/>
      <c r="C338" s="213" t="s">
        <v>1572</v>
      </c>
      <c r="D338" s="215"/>
      <c r="E338" s="190">
        <v>0</v>
      </c>
      <c r="F338" s="190">
        <v>0</v>
      </c>
      <c r="G338" s="102">
        <f t="shared" si="47"/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f t="shared" si="48"/>
        <v>0</v>
      </c>
      <c r="M338" s="102">
        <v>0</v>
      </c>
      <c r="N338" s="102">
        <v>0</v>
      </c>
      <c r="O338" s="102">
        <v>0</v>
      </c>
      <c r="P338" s="102">
        <f t="shared" si="49"/>
        <v>0</v>
      </c>
      <c r="Q338" s="102">
        <v>0</v>
      </c>
      <c r="R338" s="102">
        <v>0</v>
      </c>
      <c r="S338" s="102">
        <v>-4014034.2</v>
      </c>
      <c r="T338" s="102">
        <v>1153340.62</v>
      </c>
      <c r="U338" s="102">
        <f t="shared" si="50"/>
        <v>-2860693.58</v>
      </c>
      <c r="V338" s="102">
        <f t="shared" si="51"/>
        <v>-2860693.58</v>
      </c>
      <c r="W338" s="190">
        <v>0</v>
      </c>
      <c r="X338" s="190">
        <f t="shared" si="52"/>
        <v>-2860693.58</v>
      </c>
      <c r="Y338" s="190">
        <v>0</v>
      </c>
      <c r="Z338" s="190">
        <f t="shared" si="53"/>
        <v>-2860693.58</v>
      </c>
      <c r="AA338" s="213"/>
    </row>
    <row r="339" spans="1:27" ht="12.75">
      <c r="A339" s="213" t="s">
        <v>163</v>
      </c>
      <c r="B339" s="214"/>
      <c r="C339" s="213" t="s">
        <v>164</v>
      </c>
      <c r="D339" s="215"/>
      <c r="E339" s="190">
        <v>0</v>
      </c>
      <c r="F339" s="190">
        <v>0</v>
      </c>
      <c r="G339" s="102">
        <f t="shared" si="47"/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f t="shared" si="48"/>
        <v>0</v>
      </c>
      <c r="M339" s="102">
        <v>0</v>
      </c>
      <c r="N339" s="102">
        <v>0</v>
      </c>
      <c r="O339" s="102">
        <v>0</v>
      </c>
      <c r="P339" s="102">
        <f t="shared" si="49"/>
        <v>0</v>
      </c>
      <c r="Q339" s="102">
        <v>0</v>
      </c>
      <c r="R339" s="102">
        <v>0</v>
      </c>
      <c r="S339" s="102">
        <v>0</v>
      </c>
      <c r="T339" s="102">
        <v>0</v>
      </c>
      <c r="U339" s="102">
        <f t="shared" si="50"/>
        <v>0</v>
      </c>
      <c r="V339" s="102">
        <f t="shared" si="51"/>
        <v>0</v>
      </c>
      <c r="W339" s="190">
        <v>0</v>
      </c>
      <c r="X339" s="190">
        <f t="shared" si="52"/>
        <v>0</v>
      </c>
      <c r="Y339" s="190">
        <v>0</v>
      </c>
      <c r="Z339" s="190">
        <f t="shared" si="53"/>
        <v>0</v>
      </c>
      <c r="AA339" s="213"/>
    </row>
    <row r="340" spans="1:26" ht="12.75" hidden="1" outlineLevel="1">
      <c r="A340" s="172" t="s">
        <v>165</v>
      </c>
      <c r="C340" s="173" t="s">
        <v>166</v>
      </c>
      <c r="D340" s="173" t="s">
        <v>167</v>
      </c>
      <c r="E340" s="172">
        <v>0</v>
      </c>
      <c r="F340" s="172">
        <v>0</v>
      </c>
      <c r="G340" s="221">
        <f t="shared" si="47"/>
        <v>0</v>
      </c>
      <c r="H340" s="222">
        <v>0</v>
      </c>
      <c r="I340" s="222">
        <v>0</v>
      </c>
      <c r="J340" s="222">
        <v>0</v>
      </c>
      <c r="K340" s="222">
        <v>0</v>
      </c>
      <c r="L340" s="222">
        <f t="shared" si="48"/>
        <v>0</v>
      </c>
      <c r="M340" s="222">
        <v>0</v>
      </c>
      <c r="N340" s="222">
        <v>0</v>
      </c>
      <c r="O340" s="222">
        <v>-558136.5</v>
      </c>
      <c r="P340" s="222">
        <f t="shared" si="49"/>
        <v>-558136.5</v>
      </c>
      <c r="Q340" s="221">
        <v>0</v>
      </c>
      <c r="R340" s="221">
        <v>0</v>
      </c>
      <c r="S340" s="221">
        <v>0</v>
      </c>
      <c r="T340" s="221">
        <v>0</v>
      </c>
      <c r="U340" s="221">
        <f t="shared" si="50"/>
        <v>0</v>
      </c>
      <c r="V340" s="221">
        <f t="shared" si="51"/>
        <v>-558136.5</v>
      </c>
      <c r="W340" s="172">
        <v>0</v>
      </c>
      <c r="X340" s="172">
        <f t="shared" si="52"/>
        <v>-558136.5</v>
      </c>
      <c r="Y340" s="173">
        <v>0</v>
      </c>
      <c r="Z340" s="172">
        <f t="shared" si="53"/>
        <v>-558136.5</v>
      </c>
    </row>
    <row r="341" spans="1:27" ht="12.75" collapsed="1">
      <c r="A341" s="213" t="s">
        <v>168</v>
      </c>
      <c r="B341" s="214"/>
      <c r="C341" s="213" t="s">
        <v>169</v>
      </c>
      <c r="D341" s="215"/>
      <c r="E341" s="190">
        <v>0</v>
      </c>
      <c r="F341" s="190">
        <v>0</v>
      </c>
      <c r="G341" s="102">
        <f t="shared" si="47"/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f t="shared" si="48"/>
        <v>0</v>
      </c>
      <c r="M341" s="102">
        <v>0</v>
      </c>
      <c r="N341" s="102">
        <v>0</v>
      </c>
      <c r="O341" s="102">
        <v>-558136.5</v>
      </c>
      <c r="P341" s="102">
        <f t="shared" si="49"/>
        <v>-558136.5</v>
      </c>
      <c r="Q341" s="102">
        <v>0</v>
      </c>
      <c r="R341" s="102">
        <v>0</v>
      </c>
      <c r="S341" s="102">
        <v>0</v>
      </c>
      <c r="T341" s="102">
        <v>0</v>
      </c>
      <c r="U341" s="102">
        <f t="shared" si="50"/>
        <v>0</v>
      </c>
      <c r="V341" s="102">
        <f t="shared" si="51"/>
        <v>-558136.5</v>
      </c>
      <c r="W341" s="190">
        <v>0</v>
      </c>
      <c r="X341" s="190">
        <f t="shared" si="52"/>
        <v>-558136.5</v>
      </c>
      <c r="Y341" s="190">
        <v>0</v>
      </c>
      <c r="Z341" s="190">
        <f t="shared" si="53"/>
        <v>-558136.5</v>
      </c>
      <c r="AA341" s="213"/>
    </row>
    <row r="342" spans="2:26" ht="12.75">
      <c r="B342" s="214"/>
      <c r="C342" s="213"/>
      <c r="D342" s="215"/>
      <c r="E342" s="190"/>
      <c r="F342" s="190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90"/>
      <c r="X342" s="190"/>
      <c r="Y342" s="190"/>
      <c r="Z342" s="190"/>
    </row>
    <row r="343" spans="1:27" s="224" customFormat="1" ht="15.75">
      <c r="A343" s="218"/>
      <c r="B343" s="219"/>
      <c r="C343" s="220" t="s">
        <v>170</v>
      </c>
      <c r="D343" s="74"/>
      <c r="E343" s="152"/>
      <c r="F343" s="152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52"/>
      <c r="X343" s="152"/>
      <c r="Y343" s="152"/>
      <c r="Z343" s="152"/>
      <c r="AA343" s="218"/>
    </row>
    <row r="344" spans="1:27" s="224" customFormat="1" ht="15.75">
      <c r="A344" s="218"/>
      <c r="B344" s="219"/>
      <c r="C344" s="220" t="s">
        <v>1575</v>
      </c>
      <c r="D344" s="74"/>
      <c r="E344" s="152">
        <f aca="true" t="shared" si="54" ref="E344:Z344">E341+E338+E331+E330+E319+E339</f>
        <v>10048.24</v>
      </c>
      <c r="F344" s="152">
        <f t="shared" si="54"/>
        <v>85655.56</v>
      </c>
      <c r="G344" s="104">
        <f t="shared" si="54"/>
        <v>95703.8</v>
      </c>
      <c r="H344" s="104">
        <f t="shared" si="54"/>
        <v>7321369.85</v>
      </c>
      <c r="I344" s="104">
        <f t="shared" si="54"/>
        <v>2061.45</v>
      </c>
      <c r="J344" s="104">
        <f t="shared" si="54"/>
        <v>0</v>
      </c>
      <c r="K344" s="104">
        <f t="shared" si="54"/>
        <v>15158.82</v>
      </c>
      <c r="L344" s="104">
        <f t="shared" si="54"/>
        <v>17220.27</v>
      </c>
      <c r="M344" s="104">
        <f t="shared" si="54"/>
        <v>0</v>
      </c>
      <c r="N344" s="104">
        <f t="shared" si="54"/>
        <v>3225080.85</v>
      </c>
      <c r="O344" s="104">
        <f t="shared" si="54"/>
        <v>205013.65000000002</v>
      </c>
      <c r="P344" s="104">
        <f t="shared" si="54"/>
        <v>3430094.5</v>
      </c>
      <c r="Q344" s="104">
        <f t="shared" si="54"/>
        <v>114982.94</v>
      </c>
      <c r="R344" s="104">
        <f t="shared" si="54"/>
        <v>17541.76</v>
      </c>
      <c r="S344" s="104">
        <f t="shared" si="54"/>
        <v>-4014034.2</v>
      </c>
      <c r="T344" s="104">
        <f t="shared" si="54"/>
        <v>1153340.62</v>
      </c>
      <c r="U344" s="104">
        <f t="shared" si="54"/>
        <v>-2728168.88</v>
      </c>
      <c r="V344" s="104">
        <f t="shared" si="54"/>
        <v>8136219.54</v>
      </c>
      <c r="W344" s="152">
        <f t="shared" si="54"/>
        <v>0</v>
      </c>
      <c r="X344" s="152">
        <f t="shared" si="54"/>
        <v>8136219.54</v>
      </c>
      <c r="Y344" s="152">
        <f t="shared" si="54"/>
        <v>493743.86</v>
      </c>
      <c r="Z344" s="152">
        <f t="shared" si="54"/>
        <v>8629963.4</v>
      </c>
      <c r="AA344" s="218"/>
    </row>
    <row r="345" spans="2:26" ht="12.75">
      <c r="B345" s="214"/>
      <c r="C345" s="213"/>
      <c r="D345" s="215"/>
      <c r="E345" s="190"/>
      <c r="F345" s="190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90"/>
      <c r="X345" s="190"/>
      <c r="Y345" s="190"/>
      <c r="Z345" s="190"/>
    </row>
    <row r="346" spans="1:27" ht="12.75">
      <c r="A346" s="213"/>
      <c r="B346" s="214"/>
      <c r="C346" s="213" t="s">
        <v>1576</v>
      </c>
      <c r="D346" s="215"/>
      <c r="E346" s="190">
        <v>0</v>
      </c>
      <c r="F346" s="190">
        <v>0</v>
      </c>
      <c r="G346" s="102">
        <f>E346+F346</f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f>J346+I346+K346</f>
        <v>0</v>
      </c>
      <c r="M346" s="102">
        <v>0</v>
      </c>
      <c r="N346" s="102">
        <v>0</v>
      </c>
      <c r="O346" s="102">
        <v>0</v>
      </c>
      <c r="P346" s="102">
        <f>M346+N346+O346</f>
        <v>0</v>
      </c>
      <c r="Q346" s="102">
        <v>0</v>
      </c>
      <c r="R346" s="102">
        <v>0</v>
      </c>
      <c r="S346" s="102">
        <v>0</v>
      </c>
      <c r="T346" s="102">
        <v>0</v>
      </c>
      <c r="U346" s="102">
        <f>Q346+R346+S346+T346</f>
        <v>0</v>
      </c>
      <c r="V346" s="102">
        <f>G346+H346+L346+P346+U346</f>
        <v>0</v>
      </c>
      <c r="W346" s="190">
        <v>0</v>
      </c>
      <c r="X346" s="190">
        <f>V346+W346</f>
        <v>0</v>
      </c>
      <c r="Y346" s="190">
        <v>0</v>
      </c>
      <c r="Z346" s="190">
        <f>X346+Y346</f>
        <v>0</v>
      </c>
      <c r="AA346" s="213"/>
    </row>
    <row r="347" spans="1:27" ht="12.75">
      <c r="A347" s="213"/>
      <c r="B347" s="214"/>
      <c r="C347" s="213" t="s">
        <v>171</v>
      </c>
      <c r="D347" s="215"/>
      <c r="E347" s="190">
        <v>0</v>
      </c>
      <c r="F347" s="190">
        <v>0</v>
      </c>
      <c r="G347" s="102">
        <f>E347+F347</f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f>J347+I347+K347</f>
        <v>0</v>
      </c>
      <c r="M347" s="102">
        <v>0</v>
      </c>
      <c r="N347" s="102">
        <v>0</v>
      </c>
      <c r="O347" s="102">
        <v>0</v>
      </c>
      <c r="P347" s="102">
        <f>M347+N347+O347</f>
        <v>0</v>
      </c>
      <c r="Q347" s="102">
        <v>0</v>
      </c>
      <c r="R347" s="102">
        <v>30000</v>
      </c>
      <c r="S347" s="102">
        <v>0</v>
      </c>
      <c r="T347" s="102">
        <v>0</v>
      </c>
      <c r="U347" s="102">
        <f>Q347+R347+S347+T347</f>
        <v>30000</v>
      </c>
      <c r="V347" s="102">
        <f>G347+H347+L347+P347+U347</f>
        <v>30000</v>
      </c>
      <c r="W347" s="190">
        <v>0</v>
      </c>
      <c r="X347" s="190">
        <f>V347+W347</f>
        <v>30000</v>
      </c>
      <c r="Y347" s="190">
        <v>0</v>
      </c>
      <c r="Z347" s="190">
        <f>X347+Y347</f>
        <v>30000</v>
      </c>
      <c r="AA347" s="213"/>
    </row>
    <row r="348" spans="1:27" ht="12.75">
      <c r="A348" s="225"/>
      <c r="B348" s="214"/>
      <c r="C348" s="213" t="s">
        <v>172</v>
      </c>
      <c r="D348" s="215"/>
      <c r="E348" s="190">
        <v>0</v>
      </c>
      <c r="F348" s="190">
        <v>0</v>
      </c>
      <c r="G348" s="102">
        <f>E348+F348</f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f>J348+I348+K348</f>
        <v>0</v>
      </c>
      <c r="M348" s="102">
        <v>0</v>
      </c>
      <c r="N348" s="102">
        <v>0</v>
      </c>
      <c r="O348" s="102">
        <v>0</v>
      </c>
      <c r="P348" s="102">
        <f>M348+N348+O348</f>
        <v>0</v>
      </c>
      <c r="Q348" s="102">
        <v>0</v>
      </c>
      <c r="R348" s="102">
        <v>0</v>
      </c>
      <c r="S348" s="102">
        <v>0</v>
      </c>
      <c r="T348" s="102">
        <v>0</v>
      </c>
      <c r="U348" s="102">
        <f>Q348+R348+S348+T348</f>
        <v>0</v>
      </c>
      <c r="V348" s="102">
        <f>G348+H348+L348+P348+U348</f>
        <v>0</v>
      </c>
      <c r="W348" s="190">
        <v>0</v>
      </c>
      <c r="X348" s="190">
        <f>V348+W348</f>
        <v>0</v>
      </c>
      <c r="Y348" s="190">
        <v>0</v>
      </c>
      <c r="Z348" s="190">
        <f>X348+Y348</f>
        <v>0</v>
      </c>
      <c r="AA348" s="225"/>
    </row>
    <row r="349" spans="1:27" ht="12.75">
      <c r="A349" s="225" t="s">
        <v>1486</v>
      </c>
      <c r="B349" s="214"/>
      <c r="C349" s="213" t="s">
        <v>1578</v>
      </c>
      <c r="D349" s="215"/>
      <c r="E349" s="190">
        <v>0</v>
      </c>
      <c r="F349" s="190">
        <v>0</v>
      </c>
      <c r="G349" s="102">
        <f>E349+F349</f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f>J349+I349+K349</f>
        <v>0</v>
      </c>
      <c r="M349" s="102">
        <v>0</v>
      </c>
      <c r="N349" s="102">
        <v>2429360.74</v>
      </c>
      <c r="O349" s="102">
        <v>451156</v>
      </c>
      <c r="P349" s="102">
        <f>M349+N349+O349</f>
        <v>2880516.74</v>
      </c>
      <c r="Q349" s="102">
        <v>0</v>
      </c>
      <c r="R349" s="102">
        <v>0</v>
      </c>
      <c r="S349" s="102">
        <v>0</v>
      </c>
      <c r="T349" s="102">
        <v>0</v>
      </c>
      <c r="U349" s="102">
        <f>Q349+R349+S349+T349</f>
        <v>0</v>
      </c>
      <c r="V349" s="102">
        <f>G349+H349+L349+P349+U349</f>
        <v>2880516.74</v>
      </c>
      <c r="W349" s="190">
        <v>0</v>
      </c>
      <c r="X349" s="190">
        <f>V349+W349</f>
        <v>2880516.74</v>
      </c>
      <c r="Y349" s="190">
        <v>0</v>
      </c>
      <c r="Z349" s="190">
        <f>X349+Y349</f>
        <v>2880516.74</v>
      </c>
      <c r="AA349" s="225"/>
    </row>
    <row r="350" spans="1:27" ht="12.75">
      <c r="A350" s="188"/>
      <c r="B350" s="219"/>
      <c r="C350" s="220"/>
      <c r="D350" s="74"/>
      <c r="E350" s="152"/>
      <c r="F350" s="152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52"/>
      <c r="X350" s="152"/>
      <c r="Y350" s="152"/>
      <c r="Z350" s="152"/>
      <c r="AA350" s="188"/>
    </row>
    <row r="351" spans="1:27" ht="12.75">
      <c r="A351" s="188"/>
      <c r="B351" s="219"/>
      <c r="C351" s="220" t="s">
        <v>173</v>
      </c>
      <c r="D351" s="74"/>
      <c r="E351" s="152">
        <f aca="true" t="shared" si="55" ref="E351:Z351">E344+E346+E347+E348+E349</f>
        <v>10048.24</v>
      </c>
      <c r="F351" s="152">
        <f t="shared" si="55"/>
        <v>85655.56</v>
      </c>
      <c r="G351" s="104">
        <f t="shared" si="55"/>
        <v>95703.8</v>
      </c>
      <c r="H351" s="104">
        <f t="shared" si="55"/>
        <v>7321369.85</v>
      </c>
      <c r="I351" s="104">
        <f t="shared" si="55"/>
        <v>2061.45</v>
      </c>
      <c r="J351" s="104">
        <f t="shared" si="55"/>
        <v>0</v>
      </c>
      <c r="K351" s="104">
        <f t="shared" si="55"/>
        <v>15158.82</v>
      </c>
      <c r="L351" s="104">
        <f t="shared" si="55"/>
        <v>17220.27</v>
      </c>
      <c r="M351" s="104">
        <f t="shared" si="55"/>
        <v>0</v>
      </c>
      <c r="N351" s="104">
        <f t="shared" si="55"/>
        <v>5654441.59</v>
      </c>
      <c r="O351" s="104">
        <f t="shared" si="55"/>
        <v>656169.65</v>
      </c>
      <c r="P351" s="104">
        <f t="shared" si="55"/>
        <v>6310611.24</v>
      </c>
      <c r="Q351" s="104">
        <f t="shared" si="55"/>
        <v>114982.94</v>
      </c>
      <c r="R351" s="104">
        <f t="shared" si="55"/>
        <v>47541.759999999995</v>
      </c>
      <c r="S351" s="104">
        <f t="shared" si="55"/>
        <v>-4014034.2</v>
      </c>
      <c r="T351" s="104">
        <f t="shared" si="55"/>
        <v>1153340.62</v>
      </c>
      <c r="U351" s="104">
        <f t="shared" si="55"/>
        <v>-2698168.88</v>
      </c>
      <c r="V351" s="104">
        <f t="shared" si="55"/>
        <v>11046736.280000001</v>
      </c>
      <c r="W351" s="152">
        <f t="shared" si="55"/>
        <v>0</v>
      </c>
      <c r="X351" s="152">
        <f t="shared" si="55"/>
        <v>11046736.280000001</v>
      </c>
      <c r="Y351" s="152">
        <f t="shared" si="55"/>
        <v>493743.86</v>
      </c>
      <c r="Z351" s="152">
        <f t="shared" si="55"/>
        <v>11540480.14</v>
      </c>
      <c r="AA351" s="188"/>
    </row>
    <row r="352" spans="1:27" ht="12.75">
      <c r="A352" s="188"/>
      <c r="B352" s="219"/>
      <c r="C352" s="220"/>
      <c r="D352" s="74"/>
      <c r="E352" s="152"/>
      <c r="F352" s="152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52"/>
      <c r="X352" s="152"/>
      <c r="Y352" s="152"/>
      <c r="Z352" s="152"/>
      <c r="AA352" s="188"/>
    </row>
    <row r="353" spans="1:26" ht="12.75" hidden="1" outlineLevel="1">
      <c r="A353" s="172" t="s">
        <v>174</v>
      </c>
      <c r="C353" s="173" t="s">
        <v>175</v>
      </c>
      <c r="D353" s="173" t="s">
        <v>176</v>
      </c>
      <c r="E353" s="172">
        <v>0</v>
      </c>
      <c r="F353" s="172">
        <v>117</v>
      </c>
      <c r="G353" s="221">
        <f aca="true" t="shared" si="56" ref="G353:G378">E353+F353</f>
        <v>117</v>
      </c>
      <c r="H353" s="222">
        <v>0</v>
      </c>
      <c r="I353" s="222">
        <v>0</v>
      </c>
      <c r="J353" s="222">
        <v>0</v>
      </c>
      <c r="K353" s="222">
        <v>0</v>
      </c>
      <c r="L353" s="222">
        <f aca="true" t="shared" si="57" ref="L353:L378">J353+I353+K353</f>
        <v>0</v>
      </c>
      <c r="M353" s="222">
        <v>0</v>
      </c>
      <c r="N353" s="222">
        <v>0</v>
      </c>
      <c r="O353" s="222">
        <v>0</v>
      </c>
      <c r="P353" s="222">
        <f aca="true" t="shared" si="58" ref="P353:P378">M353+N353+O353</f>
        <v>0</v>
      </c>
      <c r="Q353" s="221">
        <v>0</v>
      </c>
      <c r="R353" s="221">
        <v>0</v>
      </c>
      <c r="S353" s="221">
        <v>0</v>
      </c>
      <c r="T353" s="221">
        <v>0</v>
      </c>
      <c r="U353" s="221">
        <f aca="true" t="shared" si="59" ref="U353:U378">Q353+R353+S353+T353</f>
        <v>0</v>
      </c>
      <c r="V353" s="221">
        <f aca="true" t="shared" si="60" ref="V353:V378">G353+H353+L353+P353+U353</f>
        <v>117</v>
      </c>
      <c r="W353" s="172">
        <v>0</v>
      </c>
      <c r="X353" s="172">
        <f aca="true" t="shared" si="61" ref="X353:X378">V353+W353</f>
        <v>117</v>
      </c>
      <c r="Y353" s="173">
        <v>0</v>
      </c>
      <c r="Z353" s="172">
        <f aca="true" t="shared" si="62" ref="Z353:Z378">X353+Y353</f>
        <v>117</v>
      </c>
    </row>
    <row r="354" spans="1:26" ht="12.75" hidden="1" outlineLevel="1">
      <c r="A354" s="172" t="s">
        <v>177</v>
      </c>
      <c r="C354" s="173" t="s">
        <v>178</v>
      </c>
      <c r="D354" s="173" t="s">
        <v>179</v>
      </c>
      <c r="E354" s="172">
        <v>0</v>
      </c>
      <c r="F354" s="172">
        <v>0</v>
      </c>
      <c r="G354" s="221">
        <f t="shared" si="56"/>
        <v>0</v>
      </c>
      <c r="H354" s="222">
        <v>0</v>
      </c>
      <c r="I354" s="222">
        <v>0</v>
      </c>
      <c r="J354" s="222">
        <v>0</v>
      </c>
      <c r="K354" s="222">
        <v>0</v>
      </c>
      <c r="L354" s="222">
        <f t="shared" si="57"/>
        <v>0</v>
      </c>
      <c r="M354" s="222">
        <v>0</v>
      </c>
      <c r="N354" s="222">
        <v>0</v>
      </c>
      <c r="O354" s="222">
        <v>0</v>
      </c>
      <c r="P354" s="222">
        <f t="shared" si="58"/>
        <v>0</v>
      </c>
      <c r="Q354" s="221">
        <v>0</v>
      </c>
      <c r="R354" s="221">
        <v>0</v>
      </c>
      <c r="S354" s="221">
        <v>3952393.4</v>
      </c>
      <c r="T354" s="221">
        <v>0</v>
      </c>
      <c r="U354" s="221">
        <f t="shared" si="59"/>
        <v>3952393.4</v>
      </c>
      <c r="V354" s="221">
        <f t="shared" si="60"/>
        <v>3952393.4</v>
      </c>
      <c r="W354" s="172">
        <v>0</v>
      </c>
      <c r="X354" s="172">
        <f t="shared" si="61"/>
        <v>3952393.4</v>
      </c>
      <c r="Y354" s="173">
        <v>0</v>
      </c>
      <c r="Z354" s="172">
        <f t="shared" si="62"/>
        <v>3952393.4</v>
      </c>
    </row>
    <row r="355" spans="1:26" ht="12.75" hidden="1" outlineLevel="1">
      <c r="A355" s="172" t="s">
        <v>180</v>
      </c>
      <c r="C355" s="173" t="s">
        <v>181</v>
      </c>
      <c r="D355" s="173" t="s">
        <v>182</v>
      </c>
      <c r="E355" s="172">
        <v>0</v>
      </c>
      <c r="F355" s="172">
        <v>0</v>
      </c>
      <c r="G355" s="221">
        <f t="shared" si="56"/>
        <v>0</v>
      </c>
      <c r="H355" s="222">
        <v>0</v>
      </c>
      <c r="I355" s="222">
        <v>0</v>
      </c>
      <c r="J355" s="222">
        <v>0</v>
      </c>
      <c r="K355" s="222">
        <v>2393</v>
      </c>
      <c r="L355" s="222">
        <f t="shared" si="57"/>
        <v>2393</v>
      </c>
      <c r="M355" s="222">
        <v>0</v>
      </c>
      <c r="N355" s="222">
        <v>0</v>
      </c>
      <c r="O355" s="222">
        <v>0</v>
      </c>
      <c r="P355" s="222">
        <f t="shared" si="58"/>
        <v>0</v>
      </c>
      <c r="Q355" s="221">
        <v>0</v>
      </c>
      <c r="R355" s="221">
        <v>0</v>
      </c>
      <c r="S355" s="221">
        <v>0</v>
      </c>
      <c r="T355" s="221">
        <v>0</v>
      </c>
      <c r="U355" s="221">
        <f t="shared" si="59"/>
        <v>0</v>
      </c>
      <c r="V355" s="221">
        <f t="shared" si="60"/>
        <v>2393</v>
      </c>
      <c r="W355" s="172">
        <v>0</v>
      </c>
      <c r="X355" s="172">
        <f t="shared" si="61"/>
        <v>2393</v>
      </c>
      <c r="Y355" s="173">
        <v>0</v>
      </c>
      <c r="Z355" s="172">
        <f t="shared" si="62"/>
        <v>2393</v>
      </c>
    </row>
    <row r="356" spans="1:26" ht="12.75" hidden="1" outlineLevel="1">
      <c r="A356" s="172" t="s">
        <v>183</v>
      </c>
      <c r="C356" s="173" t="s">
        <v>184</v>
      </c>
      <c r="D356" s="173" t="s">
        <v>185</v>
      </c>
      <c r="E356" s="172">
        <v>0</v>
      </c>
      <c r="F356" s="172">
        <v>0</v>
      </c>
      <c r="G356" s="221">
        <f t="shared" si="56"/>
        <v>0</v>
      </c>
      <c r="H356" s="222">
        <v>0</v>
      </c>
      <c r="I356" s="222">
        <v>0</v>
      </c>
      <c r="J356" s="222">
        <v>0</v>
      </c>
      <c r="K356" s="222">
        <v>-117</v>
      </c>
      <c r="L356" s="222">
        <f t="shared" si="57"/>
        <v>-117</v>
      </c>
      <c r="M356" s="222">
        <v>0</v>
      </c>
      <c r="N356" s="222">
        <v>0</v>
      </c>
      <c r="O356" s="222">
        <v>0</v>
      </c>
      <c r="P356" s="222">
        <f t="shared" si="58"/>
        <v>0</v>
      </c>
      <c r="Q356" s="221">
        <v>0</v>
      </c>
      <c r="R356" s="221">
        <v>0</v>
      </c>
      <c r="S356" s="221">
        <v>0</v>
      </c>
      <c r="T356" s="221">
        <v>0</v>
      </c>
      <c r="U356" s="221">
        <f t="shared" si="59"/>
        <v>0</v>
      </c>
      <c r="V356" s="221">
        <f t="shared" si="60"/>
        <v>-117</v>
      </c>
      <c r="W356" s="172">
        <v>0</v>
      </c>
      <c r="X356" s="172">
        <f t="shared" si="61"/>
        <v>-117</v>
      </c>
      <c r="Y356" s="173">
        <v>0</v>
      </c>
      <c r="Z356" s="172">
        <f t="shared" si="62"/>
        <v>-117</v>
      </c>
    </row>
    <row r="357" spans="1:26" ht="12.75" hidden="1" outlineLevel="1">
      <c r="A357" s="172" t="s">
        <v>186</v>
      </c>
      <c r="C357" s="173" t="s">
        <v>187</v>
      </c>
      <c r="D357" s="173" t="s">
        <v>188</v>
      </c>
      <c r="E357" s="172">
        <v>0</v>
      </c>
      <c r="F357" s="172">
        <v>-3973871</v>
      </c>
      <c r="G357" s="221">
        <f t="shared" si="56"/>
        <v>-3973871</v>
      </c>
      <c r="H357" s="222">
        <v>0</v>
      </c>
      <c r="I357" s="222">
        <v>0</v>
      </c>
      <c r="J357" s="222">
        <v>0</v>
      </c>
      <c r="K357" s="222">
        <v>0</v>
      </c>
      <c r="L357" s="222">
        <f t="shared" si="57"/>
        <v>0</v>
      </c>
      <c r="M357" s="222">
        <v>0</v>
      </c>
      <c r="N357" s="222">
        <v>0</v>
      </c>
      <c r="O357" s="222">
        <v>0</v>
      </c>
      <c r="P357" s="222">
        <f t="shared" si="58"/>
        <v>0</v>
      </c>
      <c r="Q357" s="221">
        <v>0</v>
      </c>
      <c r="R357" s="221">
        <v>0</v>
      </c>
      <c r="S357" s="221">
        <v>0</v>
      </c>
      <c r="T357" s="221">
        <v>0</v>
      </c>
      <c r="U357" s="221">
        <f t="shared" si="59"/>
        <v>0</v>
      </c>
      <c r="V357" s="221">
        <f t="shared" si="60"/>
        <v>-3973871</v>
      </c>
      <c r="W357" s="172">
        <v>0</v>
      </c>
      <c r="X357" s="172">
        <f t="shared" si="61"/>
        <v>-3973871</v>
      </c>
      <c r="Y357" s="173">
        <v>0</v>
      </c>
      <c r="Z357" s="172">
        <f t="shared" si="62"/>
        <v>-3973871</v>
      </c>
    </row>
    <row r="358" spans="1:26" ht="12.75" hidden="1" outlineLevel="1">
      <c r="A358" s="172" t="s">
        <v>189</v>
      </c>
      <c r="C358" s="173" t="s">
        <v>190</v>
      </c>
      <c r="D358" s="173" t="s">
        <v>191</v>
      </c>
      <c r="E358" s="172">
        <v>0</v>
      </c>
      <c r="F358" s="172">
        <v>-14842</v>
      </c>
      <c r="G358" s="221">
        <f t="shared" si="56"/>
        <v>-14842</v>
      </c>
      <c r="H358" s="222">
        <v>0</v>
      </c>
      <c r="I358" s="222">
        <v>0</v>
      </c>
      <c r="J358" s="222">
        <v>0</v>
      </c>
      <c r="K358" s="222">
        <v>12449</v>
      </c>
      <c r="L358" s="222">
        <f t="shared" si="57"/>
        <v>12449</v>
      </c>
      <c r="M358" s="222">
        <v>0</v>
      </c>
      <c r="N358" s="222">
        <v>0</v>
      </c>
      <c r="O358" s="222">
        <v>0</v>
      </c>
      <c r="P358" s="222">
        <f t="shared" si="58"/>
        <v>0</v>
      </c>
      <c r="Q358" s="221">
        <v>0</v>
      </c>
      <c r="R358" s="221">
        <v>0</v>
      </c>
      <c r="S358" s="221">
        <v>0</v>
      </c>
      <c r="T358" s="221">
        <v>0</v>
      </c>
      <c r="U358" s="221">
        <f t="shared" si="59"/>
        <v>0</v>
      </c>
      <c r="V358" s="221">
        <f t="shared" si="60"/>
        <v>-2393</v>
      </c>
      <c r="W358" s="172">
        <v>0</v>
      </c>
      <c r="X358" s="172">
        <f t="shared" si="61"/>
        <v>-2393</v>
      </c>
      <c r="Y358" s="173">
        <v>0</v>
      </c>
      <c r="Z358" s="172">
        <f t="shared" si="62"/>
        <v>-2393</v>
      </c>
    </row>
    <row r="359" spans="1:27" ht="12.75" collapsed="1">
      <c r="A359" s="213" t="s">
        <v>192</v>
      </c>
      <c r="B359" s="214"/>
      <c r="C359" s="213" t="s">
        <v>1579</v>
      </c>
      <c r="D359" s="215"/>
      <c r="E359" s="190">
        <v>0</v>
      </c>
      <c r="F359" s="190">
        <v>-3988596</v>
      </c>
      <c r="G359" s="102">
        <f t="shared" si="56"/>
        <v>-3988596</v>
      </c>
      <c r="H359" s="102">
        <v>0</v>
      </c>
      <c r="I359" s="102">
        <v>0</v>
      </c>
      <c r="J359" s="102">
        <v>0</v>
      </c>
      <c r="K359" s="102">
        <v>14725</v>
      </c>
      <c r="L359" s="102">
        <f t="shared" si="57"/>
        <v>14725</v>
      </c>
      <c r="M359" s="102">
        <v>0</v>
      </c>
      <c r="N359" s="102">
        <v>0</v>
      </c>
      <c r="O359" s="102">
        <v>0</v>
      </c>
      <c r="P359" s="102">
        <f t="shared" si="58"/>
        <v>0</v>
      </c>
      <c r="Q359" s="102">
        <v>0</v>
      </c>
      <c r="R359" s="102">
        <v>0</v>
      </c>
      <c r="S359" s="102">
        <v>3952393.4</v>
      </c>
      <c r="T359" s="102">
        <v>0</v>
      </c>
      <c r="U359" s="102">
        <f t="shared" si="59"/>
        <v>3952393.4</v>
      </c>
      <c r="V359" s="102">
        <f t="shared" si="60"/>
        <v>-21477.600000000093</v>
      </c>
      <c r="W359" s="190">
        <v>0</v>
      </c>
      <c r="X359" s="190">
        <f t="shared" si="61"/>
        <v>-21477.600000000093</v>
      </c>
      <c r="Y359" s="190">
        <v>0</v>
      </c>
      <c r="Z359" s="190">
        <f t="shared" si="62"/>
        <v>-21477.600000000093</v>
      </c>
      <c r="AA359" s="213"/>
    </row>
    <row r="360" spans="1:26" ht="12.75" hidden="1" outlineLevel="1">
      <c r="A360" s="172" t="s">
        <v>193</v>
      </c>
      <c r="C360" s="173" t="s">
        <v>194</v>
      </c>
      <c r="D360" s="173" t="s">
        <v>195</v>
      </c>
      <c r="E360" s="172">
        <v>0</v>
      </c>
      <c r="F360" s="172">
        <v>663280.08</v>
      </c>
      <c r="G360" s="221">
        <f t="shared" si="56"/>
        <v>663280.08</v>
      </c>
      <c r="H360" s="222">
        <v>978587.8</v>
      </c>
      <c r="I360" s="222">
        <v>0</v>
      </c>
      <c r="J360" s="222">
        <v>0</v>
      </c>
      <c r="K360" s="222">
        <v>22000</v>
      </c>
      <c r="L360" s="222">
        <f t="shared" si="57"/>
        <v>22000</v>
      </c>
      <c r="M360" s="222">
        <v>0</v>
      </c>
      <c r="N360" s="222">
        <v>6045.6</v>
      </c>
      <c r="O360" s="222">
        <v>0</v>
      </c>
      <c r="P360" s="222">
        <f t="shared" si="58"/>
        <v>6045.6</v>
      </c>
      <c r="Q360" s="221">
        <v>70083.09</v>
      </c>
      <c r="R360" s="221">
        <v>0</v>
      </c>
      <c r="S360" s="221">
        <v>0</v>
      </c>
      <c r="T360" s="221">
        <v>0</v>
      </c>
      <c r="U360" s="221">
        <f t="shared" si="59"/>
        <v>70083.09</v>
      </c>
      <c r="V360" s="221">
        <f t="shared" si="60"/>
        <v>1739996.57</v>
      </c>
      <c r="W360" s="172">
        <v>0</v>
      </c>
      <c r="X360" s="172">
        <f t="shared" si="61"/>
        <v>1739996.57</v>
      </c>
      <c r="Y360" s="173">
        <v>0</v>
      </c>
      <c r="Z360" s="172">
        <f t="shared" si="62"/>
        <v>1739996.57</v>
      </c>
    </row>
    <row r="361" spans="1:26" ht="12.75" hidden="1" outlineLevel="1">
      <c r="A361" s="172" t="s">
        <v>196</v>
      </c>
      <c r="C361" s="173" t="s">
        <v>197</v>
      </c>
      <c r="D361" s="173" t="s">
        <v>198</v>
      </c>
      <c r="E361" s="172">
        <v>0</v>
      </c>
      <c r="F361" s="172">
        <v>46479</v>
      </c>
      <c r="G361" s="221">
        <f t="shared" si="56"/>
        <v>46479</v>
      </c>
      <c r="H361" s="222">
        <v>0</v>
      </c>
      <c r="I361" s="222">
        <v>0</v>
      </c>
      <c r="J361" s="222">
        <v>0</v>
      </c>
      <c r="K361" s="222">
        <v>0</v>
      </c>
      <c r="L361" s="222">
        <f t="shared" si="57"/>
        <v>0</v>
      </c>
      <c r="M361" s="222">
        <v>0</v>
      </c>
      <c r="N361" s="222">
        <v>0</v>
      </c>
      <c r="O361" s="222">
        <v>0</v>
      </c>
      <c r="P361" s="222">
        <f t="shared" si="58"/>
        <v>0</v>
      </c>
      <c r="Q361" s="221">
        <v>0</v>
      </c>
      <c r="R361" s="221">
        <v>0</v>
      </c>
      <c r="S361" s="221">
        <v>0</v>
      </c>
      <c r="T361" s="221">
        <v>0</v>
      </c>
      <c r="U361" s="221">
        <f t="shared" si="59"/>
        <v>0</v>
      </c>
      <c r="V361" s="221">
        <f t="shared" si="60"/>
        <v>46479</v>
      </c>
      <c r="W361" s="172">
        <v>0</v>
      </c>
      <c r="X361" s="172">
        <f t="shared" si="61"/>
        <v>46479</v>
      </c>
      <c r="Y361" s="173">
        <v>0</v>
      </c>
      <c r="Z361" s="172">
        <f t="shared" si="62"/>
        <v>46479</v>
      </c>
    </row>
    <row r="362" spans="1:26" ht="12.75" hidden="1" outlineLevel="1">
      <c r="A362" s="172" t="s">
        <v>199</v>
      </c>
      <c r="C362" s="173" t="s">
        <v>200</v>
      </c>
      <c r="D362" s="173" t="s">
        <v>201</v>
      </c>
      <c r="E362" s="172">
        <v>0</v>
      </c>
      <c r="F362" s="172">
        <v>52843.76</v>
      </c>
      <c r="G362" s="221">
        <f t="shared" si="56"/>
        <v>52843.76</v>
      </c>
      <c r="H362" s="222">
        <v>0</v>
      </c>
      <c r="I362" s="222">
        <v>0</v>
      </c>
      <c r="J362" s="222">
        <v>0</v>
      </c>
      <c r="K362" s="222">
        <v>0</v>
      </c>
      <c r="L362" s="222">
        <f t="shared" si="57"/>
        <v>0</v>
      </c>
      <c r="M362" s="222">
        <v>0</v>
      </c>
      <c r="N362" s="222">
        <v>0</v>
      </c>
      <c r="O362" s="222">
        <v>0</v>
      </c>
      <c r="P362" s="222">
        <f t="shared" si="58"/>
        <v>0</v>
      </c>
      <c r="Q362" s="221">
        <v>1208373</v>
      </c>
      <c r="R362" s="221">
        <v>0</v>
      </c>
      <c r="S362" s="221">
        <v>0</v>
      </c>
      <c r="T362" s="221">
        <v>0</v>
      </c>
      <c r="U362" s="221">
        <f t="shared" si="59"/>
        <v>1208373</v>
      </c>
      <c r="V362" s="221">
        <f t="shared" si="60"/>
        <v>1261216.76</v>
      </c>
      <c r="W362" s="172">
        <v>0</v>
      </c>
      <c r="X362" s="172">
        <f t="shared" si="61"/>
        <v>1261216.76</v>
      </c>
      <c r="Y362" s="173">
        <v>0</v>
      </c>
      <c r="Z362" s="172">
        <f t="shared" si="62"/>
        <v>1261216.76</v>
      </c>
    </row>
    <row r="363" spans="1:26" ht="12.75" hidden="1" outlineLevel="1">
      <c r="A363" s="172" t="s">
        <v>202</v>
      </c>
      <c r="C363" s="173" t="s">
        <v>203</v>
      </c>
      <c r="D363" s="173" t="s">
        <v>204</v>
      </c>
      <c r="E363" s="172">
        <v>0</v>
      </c>
      <c r="F363" s="172">
        <v>434386.34</v>
      </c>
      <c r="G363" s="221">
        <f t="shared" si="56"/>
        <v>434386.34</v>
      </c>
      <c r="H363" s="222">
        <v>16752.72</v>
      </c>
      <c r="I363" s="222">
        <v>0</v>
      </c>
      <c r="J363" s="222">
        <v>0</v>
      </c>
      <c r="K363" s="222">
        <v>0</v>
      </c>
      <c r="L363" s="222">
        <f t="shared" si="57"/>
        <v>0</v>
      </c>
      <c r="M363" s="222">
        <v>0</v>
      </c>
      <c r="N363" s="222">
        <v>1248567.46</v>
      </c>
      <c r="O363" s="222">
        <v>0</v>
      </c>
      <c r="P363" s="222">
        <f t="shared" si="58"/>
        <v>1248567.46</v>
      </c>
      <c r="Q363" s="221">
        <v>4099279.12</v>
      </c>
      <c r="R363" s="221">
        <v>0</v>
      </c>
      <c r="S363" s="221">
        <v>0</v>
      </c>
      <c r="T363" s="221">
        <v>0</v>
      </c>
      <c r="U363" s="221">
        <f t="shared" si="59"/>
        <v>4099279.12</v>
      </c>
      <c r="V363" s="221">
        <f t="shared" si="60"/>
        <v>5798985.640000001</v>
      </c>
      <c r="W363" s="172">
        <v>0</v>
      </c>
      <c r="X363" s="172">
        <f t="shared" si="61"/>
        <v>5798985.640000001</v>
      </c>
      <c r="Y363" s="173">
        <v>0</v>
      </c>
      <c r="Z363" s="172">
        <f t="shared" si="62"/>
        <v>5798985.640000001</v>
      </c>
    </row>
    <row r="364" spans="1:26" ht="12.75" hidden="1" outlineLevel="1">
      <c r="A364" s="172" t="s">
        <v>205</v>
      </c>
      <c r="C364" s="173" t="s">
        <v>206</v>
      </c>
      <c r="D364" s="173" t="s">
        <v>207</v>
      </c>
      <c r="E364" s="172">
        <v>0</v>
      </c>
      <c r="F364" s="172">
        <v>-70083.09</v>
      </c>
      <c r="G364" s="221">
        <f t="shared" si="56"/>
        <v>-70083.09</v>
      </c>
      <c r="H364" s="222">
        <v>-679325.68</v>
      </c>
      <c r="I364" s="222">
        <v>0</v>
      </c>
      <c r="J364" s="222">
        <v>0</v>
      </c>
      <c r="K364" s="222">
        <v>0</v>
      </c>
      <c r="L364" s="222">
        <f t="shared" si="57"/>
        <v>0</v>
      </c>
      <c r="M364" s="222">
        <v>0</v>
      </c>
      <c r="N364" s="222">
        <v>0</v>
      </c>
      <c r="O364" s="222">
        <v>-978587.8</v>
      </c>
      <c r="P364" s="222">
        <f t="shared" si="58"/>
        <v>-978587.8</v>
      </c>
      <c r="Q364" s="221">
        <v>0</v>
      </c>
      <c r="R364" s="221">
        <v>0</v>
      </c>
      <c r="S364" s="221">
        <v>0</v>
      </c>
      <c r="T364" s="221">
        <v>0</v>
      </c>
      <c r="U364" s="221">
        <f t="shared" si="59"/>
        <v>0</v>
      </c>
      <c r="V364" s="221">
        <f t="shared" si="60"/>
        <v>-1727996.57</v>
      </c>
      <c r="W364" s="172">
        <v>0</v>
      </c>
      <c r="X364" s="172">
        <f t="shared" si="61"/>
        <v>-1727996.57</v>
      </c>
      <c r="Y364" s="173">
        <v>0</v>
      </c>
      <c r="Z364" s="172">
        <f t="shared" si="62"/>
        <v>-1727996.57</v>
      </c>
    </row>
    <row r="365" spans="1:26" ht="12.75" hidden="1" outlineLevel="1">
      <c r="A365" s="172" t="s">
        <v>208</v>
      </c>
      <c r="C365" s="173" t="s">
        <v>209</v>
      </c>
      <c r="D365" s="173" t="s">
        <v>210</v>
      </c>
      <c r="E365" s="172">
        <v>0</v>
      </c>
      <c r="F365" s="172">
        <v>-664279.38</v>
      </c>
      <c r="G365" s="221">
        <f t="shared" si="56"/>
        <v>-664279.38</v>
      </c>
      <c r="H365" s="222">
        <v>0</v>
      </c>
      <c r="I365" s="222">
        <v>0</v>
      </c>
      <c r="J365" s="222">
        <v>0</v>
      </c>
      <c r="K365" s="222">
        <v>0</v>
      </c>
      <c r="L365" s="222">
        <f t="shared" si="57"/>
        <v>0</v>
      </c>
      <c r="M365" s="222">
        <v>0</v>
      </c>
      <c r="N365" s="222">
        <v>0</v>
      </c>
      <c r="O365" s="222">
        <v>0</v>
      </c>
      <c r="P365" s="222">
        <f t="shared" si="58"/>
        <v>0</v>
      </c>
      <c r="Q365" s="221">
        <v>0</v>
      </c>
      <c r="R365" s="221">
        <v>0</v>
      </c>
      <c r="S365" s="221">
        <v>0</v>
      </c>
      <c r="T365" s="221">
        <v>0</v>
      </c>
      <c r="U365" s="221">
        <f t="shared" si="59"/>
        <v>0</v>
      </c>
      <c r="V365" s="221">
        <f t="shared" si="60"/>
        <v>-664279.38</v>
      </c>
      <c r="W365" s="172">
        <v>0</v>
      </c>
      <c r="X365" s="172">
        <f t="shared" si="61"/>
        <v>-664279.38</v>
      </c>
      <c r="Y365" s="173">
        <v>0</v>
      </c>
      <c r="Z365" s="172">
        <f t="shared" si="62"/>
        <v>-664279.38</v>
      </c>
    </row>
    <row r="366" spans="1:26" ht="12.75" hidden="1" outlineLevel="1">
      <c r="A366" s="172" t="s">
        <v>211</v>
      </c>
      <c r="C366" s="173" t="s">
        <v>1351</v>
      </c>
      <c r="D366" s="173" t="s">
        <v>1352</v>
      </c>
      <c r="E366" s="172">
        <v>0</v>
      </c>
      <c r="F366" s="172">
        <v>-1811353.23</v>
      </c>
      <c r="G366" s="221">
        <f t="shared" si="56"/>
        <v>-1811353.23</v>
      </c>
      <c r="H366" s="222">
        <v>0</v>
      </c>
      <c r="I366" s="222">
        <v>0</v>
      </c>
      <c r="J366" s="222">
        <v>0</v>
      </c>
      <c r="K366" s="222">
        <v>0</v>
      </c>
      <c r="L366" s="222">
        <f t="shared" si="57"/>
        <v>0</v>
      </c>
      <c r="M366" s="222">
        <v>0</v>
      </c>
      <c r="N366" s="222">
        <v>0</v>
      </c>
      <c r="O366" s="222">
        <v>0</v>
      </c>
      <c r="P366" s="222">
        <f t="shared" si="58"/>
        <v>0</v>
      </c>
      <c r="Q366" s="221">
        <v>0</v>
      </c>
      <c r="R366" s="221">
        <v>0</v>
      </c>
      <c r="S366" s="221">
        <v>0</v>
      </c>
      <c r="T366" s="221">
        <v>0</v>
      </c>
      <c r="U366" s="221">
        <f t="shared" si="59"/>
        <v>0</v>
      </c>
      <c r="V366" s="221">
        <f t="shared" si="60"/>
        <v>-1811353.23</v>
      </c>
      <c r="W366" s="172">
        <v>0</v>
      </c>
      <c r="X366" s="172">
        <f t="shared" si="61"/>
        <v>-1811353.23</v>
      </c>
      <c r="Y366" s="173">
        <v>0</v>
      </c>
      <c r="Z366" s="172">
        <f t="shared" si="62"/>
        <v>-1811353.23</v>
      </c>
    </row>
    <row r="367" spans="1:26" ht="12.75" hidden="1" outlineLevel="1">
      <c r="A367" s="172" t="s">
        <v>1353</v>
      </c>
      <c r="C367" s="173" t="s">
        <v>1354</v>
      </c>
      <c r="D367" s="173" t="s">
        <v>1355</v>
      </c>
      <c r="E367" s="172">
        <v>0</v>
      </c>
      <c r="F367" s="172">
        <v>-4052870.29</v>
      </c>
      <c r="G367" s="221">
        <f t="shared" si="56"/>
        <v>-4052870.29</v>
      </c>
      <c r="H367" s="222">
        <v>-1301742.35</v>
      </c>
      <c r="I367" s="222">
        <v>0</v>
      </c>
      <c r="J367" s="222">
        <v>0</v>
      </c>
      <c r="K367" s="222">
        <v>0</v>
      </c>
      <c r="L367" s="222">
        <f t="shared" si="57"/>
        <v>0</v>
      </c>
      <c r="M367" s="222">
        <v>0</v>
      </c>
      <c r="N367" s="222">
        <v>0</v>
      </c>
      <c r="O367" s="222">
        <v>0</v>
      </c>
      <c r="P367" s="222">
        <f t="shared" si="58"/>
        <v>0</v>
      </c>
      <c r="Q367" s="221">
        <v>-434373</v>
      </c>
      <c r="R367" s="221">
        <v>0</v>
      </c>
      <c r="S367" s="221">
        <v>0</v>
      </c>
      <c r="T367" s="221">
        <v>0</v>
      </c>
      <c r="U367" s="221">
        <f t="shared" si="59"/>
        <v>-434373</v>
      </c>
      <c r="V367" s="221">
        <f t="shared" si="60"/>
        <v>-5788985.640000001</v>
      </c>
      <c r="W367" s="172">
        <v>0</v>
      </c>
      <c r="X367" s="172">
        <f t="shared" si="61"/>
        <v>-5788985.640000001</v>
      </c>
      <c r="Y367" s="173">
        <v>0</v>
      </c>
      <c r="Z367" s="172">
        <f t="shared" si="62"/>
        <v>-5788985.640000001</v>
      </c>
    </row>
    <row r="368" spans="1:27" ht="12.75" collapsed="1">
      <c r="A368" s="213" t="s">
        <v>1356</v>
      </c>
      <c r="B368" s="214"/>
      <c r="C368" s="213" t="s">
        <v>1580</v>
      </c>
      <c r="D368" s="215"/>
      <c r="E368" s="190">
        <v>0</v>
      </c>
      <c r="F368" s="190">
        <v>-5401596.8100000005</v>
      </c>
      <c r="G368" s="102">
        <f t="shared" si="56"/>
        <v>-5401596.8100000005</v>
      </c>
      <c r="H368" s="102">
        <v>-985727.51</v>
      </c>
      <c r="I368" s="102">
        <v>0</v>
      </c>
      <c r="J368" s="102">
        <v>0</v>
      </c>
      <c r="K368" s="102">
        <v>22000</v>
      </c>
      <c r="L368" s="102">
        <f t="shared" si="57"/>
        <v>22000</v>
      </c>
      <c r="M368" s="102">
        <v>0</v>
      </c>
      <c r="N368" s="102">
        <v>1254613.06</v>
      </c>
      <c r="O368" s="102">
        <v>-978587.8</v>
      </c>
      <c r="P368" s="102">
        <f t="shared" si="58"/>
        <v>276025.26</v>
      </c>
      <c r="Q368" s="102">
        <v>4943362.21</v>
      </c>
      <c r="R368" s="102">
        <v>0</v>
      </c>
      <c r="S368" s="102">
        <v>0</v>
      </c>
      <c r="T368" s="102">
        <v>0</v>
      </c>
      <c r="U368" s="102">
        <f t="shared" si="59"/>
        <v>4943362.21</v>
      </c>
      <c r="V368" s="102">
        <f t="shared" si="60"/>
        <v>-1145936.8500000006</v>
      </c>
      <c r="W368" s="190">
        <v>0</v>
      </c>
      <c r="X368" s="190">
        <f t="shared" si="61"/>
        <v>-1145936.8500000006</v>
      </c>
      <c r="Y368" s="190">
        <v>0</v>
      </c>
      <c r="Z368" s="190">
        <f t="shared" si="62"/>
        <v>-1145936.8500000006</v>
      </c>
      <c r="AA368" s="213"/>
    </row>
    <row r="369" spans="1:26" ht="12.75" hidden="1" outlineLevel="1">
      <c r="A369" s="172" t="s">
        <v>1357</v>
      </c>
      <c r="C369" s="173" t="s">
        <v>1358</v>
      </c>
      <c r="D369" s="173" t="s">
        <v>1359</v>
      </c>
      <c r="E369" s="172">
        <v>0</v>
      </c>
      <c r="F369" s="172">
        <v>-7.275957614183426E-12</v>
      </c>
      <c r="G369" s="221">
        <f t="shared" si="56"/>
        <v>-7.275957614183426E-12</v>
      </c>
      <c r="H369" s="222">
        <v>0</v>
      </c>
      <c r="I369" s="222">
        <v>0</v>
      </c>
      <c r="J369" s="222">
        <v>0</v>
      </c>
      <c r="K369" s="222">
        <v>0</v>
      </c>
      <c r="L369" s="222">
        <f t="shared" si="57"/>
        <v>0</v>
      </c>
      <c r="M369" s="222">
        <v>0</v>
      </c>
      <c r="N369" s="222">
        <v>0</v>
      </c>
      <c r="O369" s="222">
        <v>0</v>
      </c>
      <c r="P369" s="222">
        <f t="shared" si="58"/>
        <v>0</v>
      </c>
      <c r="Q369" s="221">
        <v>0</v>
      </c>
      <c r="R369" s="221">
        <v>0</v>
      </c>
      <c r="S369" s="221">
        <v>0</v>
      </c>
      <c r="T369" s="221">
        <v>0</v>
      </c>
      <c r="U369" s="221">
        <f t="shared" si="59"/>
        <v>0</v>
      </c>
      <c r="V369" s="221">
        <f t="shared" si="60"/>
        <v>-7.275957614183426E-12</v>
      </c>
      <c r="W369" s="172">
        <v>0</v>
      </c>
      <c r="X369" s="172">
        <f t="shared" si="61"/>
        <v>-7.275957614183426E-12</v>
      </c>
      <c r="Y369" s="173">
        <v>0</v>
      </c>
      <c r="Z369" s="172">
        <f t="shared" si="62"/>
        <v>-7.275957614183426E-12</v>
      </c>
    </row>
    <row r="370" spans="1:26" ht="12.75" hidden="1" outlineLevel="1">
      <c r="A370" s="172" t="s">
        <v>1360</v>
      </c>
      <c r="C370" s="173" t="s">
        <v>1361</v>
      </c>
      <c r="D370" s="173" t="s">
        <v>1362</v>
      </c>
      <c r="E370" s="172">
        <v>0</v>
      </c>
      <c r="F370" s="172">
        <v>30214295.18</v>
      </c>
      <c r="G370" s="221">
        <f t="shared" si="56"/>
        <v>30214295.18</v>
      </c>
      <c r="H370" s="222">
        <v>254089.04</v>
      </c>
      <c r="I370" s="222">
        <v>0</v>
      </c>
      <c r="J370" s="222">
        <v>0</v>
      </c>
      <c r="K370" s="222">
        <v>0</v>
      </c>
      <c r="L370" s="222">
        <f t="shared" si="57"/>
        <v>0</v>
      </c>
      <c r="M370" s="222">
        <v>0</v>
      </c>
      <c r="N370" s="222">
        <v>2400</v>
      </c>
      <c r="O370" s="222">
        <v>0</v>
      </c>
      <c r="P370" s="222">
        <f t="shared" si="58"/>
        <v>2400</v>
      </c>
      <c r="Q370" s="221">
        <v>1266681.79</v>
      </c>
      <c r="R370" s="221">
        <v>0</v>
      </c>
      <c r="S370" s="221">
        <v>0</v>
      </c>
      <c r="T370" s="221">
        <v>0</v>
      </c>
      <c r="U370" s="221">
        <f t="shared" si="59"/>
        <v>1266681.79</v>
      </c>
      <c r="V370" s="221">
        <f t="shared" si="60"/>
        <v>31737466.009999998</v>
      </c>
      <c r="W370" s="172">
        <v>0</v>
      </c>
      <c r="X370" s="172">
        <f t="shared" si="61"/>
        <v>31737466.009999998</v>
      </c>
      <c r="Y370" s="173">
        <v>0</v>
      </c>
      <c r="Z370" s="172">
        <f t="shared" si="62"/>
        <v>31737466.009999998</v>
      </c>
    </row>
    <row r="371" spans="1:26" ht="12.75" hidden="1" outlineLevel="1">
      <c r="A371" s="172" t="s">
        <v>1363</v>
      </c>
      <c r="C371" s="173" t="s">
        <v>1364</v>
      </c>
      <c r="D371" s="173" t="s">
        <v>1365</v>
      </c>
      <c r="E371" s="172">
        <v>0</v>
      </c>
      <c r="F371" s="172">
        <v>-19864090.46</v>
      </c>
      <c r="G371" s="221">
        <f t="shared" si="56"/>
        <v>-19864090.46</v>
      </c>
      <c r="H371" s="222">
        <v>-246562.87</v>
      </c>
      <c r="I371" s="222">
        <v>0</v>
      </c>
      <c r="J371" s="222">
        <v>0</v>
      </c>
      <c r="K371" s="222">
        <v>-22581.46</v>
      </c>
      <c r="L371" s="222">
        <f t="shared" si="57"/>
        <v>-22581.46</v>
      </c>
      <c r="M371" s="222">
        <v>0</v>
      </c>
      <c r="N371" s="222">
        <v>-2400</v>
      </c>
      <c r="O371" s="222">
        <v>0</v>
      </c>
      <c r="P371" s="222">
        <f t="shared" si="58"/>
        <v>-2400</v>
      </c>
      <c r="Q371" s="221">
        <v>-91282.94</v>
      </c>
      <c r="R371" s="221">
        <v>0</v>
      </c>
      <c r="S371" s="221">
        <v>0</v>
      </c>
      <c r="T371" s="221">
        <v>0</v>
      </c>
      <c r="U371" s="221">
        <f t="shared" si="59"/>
        <v>-91282.94</v>
      </c>
      <c r="V371" s="221">
        <f t="shared" si="60"/>
        <v>-20226917.730000004</v>
      </c>
      <c r="W371" s="172">
        <v>0</v>
      </c>
      <c r="X371" s="172">
        <f t="shared" si="61"/>
        <v>-20226917.730000004</v>
      </c>
      <c r="Y371" s="173">
        <v>0</v>
      </c>
      <c r="Z371" s="172">
        <f t="shared" si="62"/>
        <v>-20226917.730000004</v>
      </c>
    </row>
    <row r="372" spans="1:26" ht="12.75" hidden="1" outlineLevel="1">
      <c r="A372" s="172" t="s">
        <v>1366</v>
      </c>
      <c r="C372" s="173" t="s">
        <v>1367</v>
      </c>
      <c r="D372" s="173" t="s">
        <v>1368</v>
      </c>
      <c r="E372" s="172">
        <v>0</v>
      </c>
      <c r="F372" s="172">
        <v>-41220.31</v>
      </c>
      <c r="G372" s="221">
        <f t="shared" si="56"/>
        <v>-41220.31</v>
      </c>
      <c r="H372" s="222">
        <v>0</v>
      </c>
      <c r="I372" s="222">
        <v>0</v>
      </c>
      <c r="J372" s="222">
        <v>0</v>
      </c>
      <c r="K372" s="222">
        <v>0</v>
      </c>
      <c r="L372" s="222">
        <f t="shared" si="57"/>
        <v>0</v>
      </c>
      <c r="M372" s="222">
        <v>0</v>
      </c>
      <c r="N372" s="222">
        <v>0</v>
      </c>
      <c r="O372" s="222">
        <v>0</v>
      </c>
      <c r="P372" s="222">
        <f t="shared" si="58"/>
        <v>0</v>
      </c>
      <c r="Q372" s="221">
        <v>0</v>
      </c>
      <c r="R372" s="221">
        <v>0</v>
      </c>
      <c r="S372" s="221">
        <v>0</v>
      </c>
      <c r="T372" s="221">
        <v>0</v>
      </c>
      <c r="U372" s="221">
        <f t="shared" si="59"/>
        <v>0</v>
      </c>
      <c r="V372" s="221">
        <f t="shared" si="60"/>
        <v>-41220.31</v>
      </c>
      <c r="W372" s="172">
        <v>0</v>
      </c>
      <c r="X372" s="172">
        <f t="shared" si="61"/>
        <v>-41220.31</v>
      </c>
      <c r="Y372" s="173">
        <v>0</v>
      </c>
      <c r="Z372" s="172">
        <f t="shared" si="62"/>
        <v>-41220.31</v>
      </c>
    </row>
    <row r="373" spans="1:26" ht="12.75" hidden="1" outlineLevel="1">
      <c r="A373" s="172" t="s">
        <v>1369</v>
      </c>
      <c r="C373" s="173" t="s">
        <v>1370</v>
      </c>
      <c r="D373" s="173" t="s">
        <v>1371</v>
      </c>
      <c r="E373" s="172">
        <v>0</v>
      </c>
      <c r="F373" s="172">
        <v>-256350</v>
      </c>
      <c r="G373" s="221">
        <f t="shared" si="56"/>
        <v>-256350</v>
      </c>
      <c r="H373" s="222">
        <v>256350</v>
      </c>
      <c r="I373" s="222">
        <v>0</v>
      </c>
      <c r="J373" s="222">
        <v>0</v>
      </c>
      <c r="K373" s="222">
        <v>0</v>
      </c>
      <c r="L373" s="222">
        <f t="shared" si="57"/>
        <v>0</v>
      </c>
      <c r="M373" s="222">
        <v>0</v>
      </c>
      <c r="N373" s="222">
        <v>0</v>
      </c>
      <c r="O373" s="222">
        <v>0</v>
      </c>
      <c r="P373" s="222">
        <f t="shared" si="58"/>
        <v>0</v>
      </c>
      <c r="Q373" s="221">
        <v>0</v>
      </c>
      <c r="R373" s="221">
        <v>0</v>
      </c>
      <c r="S373" s="221">
        <v>0</v>
      </c>
      <c r="T373" s="221">
        <v>0</v>
      </c>
      <c r="U373" s="221">
        <f t="shared" si="59"/>
        <v>0</v>
      </c>
      <c r="V373" s="221">
        <f t="shared" si="60"/>
        <v>0</v>
      </c>
      <c r="W373" s="172">
        <v>0</v>
      </c>
      <c r="X373" s="172">
        <f t="shared" si="61"/>
        <v>0</v>
      </c>
      <c r="Y373" s="173">
        <v>0</v>
      </c>
      <c r="Z373" s="172">
        <f t="shared" si="62"/>
        <v>0</v>
      </c>
    </row>
    <row r="374" spans="1:26" ht="12.75" hidden="1" outlineLevel="1">
      <c r="A374" s="172" t="s">
        <v>1372</v>
      </c>
      <c r="C374" s="173" t="s">
        <v>1373</v>
      </c>
      <c r="D374" s="173" t="s">
        <v>1374</v>
      </c>
      <c r="E374" s="172">
        <v>0</v>
      </c>
      <c r="F374" s="172">
        <v>0</v>
      </c>
      <c r="G374" s="221">
        <f t="shared" si="56"/>
        <v>0</v>
      </c>
      <c r="H374" s="222">
        <v>-209384.7</v>
      </c>
      <c r="I374" s="222">
        <v>0</v>
      </c>
      <c r="J374" s="222">
        <v>0</v>
      </c>
      <c r="K374" s="222">
        <v>0</v>
      </c>
      <c r="L374" s="222">
        <f t="shared" si="57"/>
        <v>0</v>
      </c>
      <c r="M374" s="222">
        <v>0</v>
      </c>
      <c r="N374" s="222">
        <v>0</v>
      </c>
      <c r="O374" s="222">
        <v>0</v>
      </c>
      <c r="P374" s="222">
        <f t="shared" si="58"/>
        <v>0</v>
      </c>
      <c r="Q374" s="221">
        <v>0</v>
      </c>
      <c r="R374" s="221">
        <v>0</v>
      </c>
      <c r="S374" s="221">
        <v>0</v>
      </c>
      <c r="T374" s="221">
        <v>0</v>
      </c>
      <c r="U374" s="221">
        <f t="shared" si="59"/>
        <v>0</v>
      </c>
      <c r="V374" s="221">
        <f t="shared" si="60"/>
        <v>-209384.7</v>
      </c>
      <c r="W374" s="172">
        <v>0</v>
      </c>
      <c r="X374" s="172">
        <f t="shared" si="61"/>
        <v>-209384.7</v>
      </c>
      <c r="Y374" s="173">
        <v>0</v>
      </c>
      <c r="Z374" s="172">
        <f t="shared" si="62"/>
        <v>-209384.7</v>
      </c>
    </row>
    <row r="375" spans="1:26" ht="12.75" hidden="1" outlineLevel="1">
      <c r="A375" s="172" t="s">
        <v>1375</v>
      </c>
      <c r="C375" s="173" t="s">
        <v>1376</v>
      </c>
      <c r="D375" s="173" t="s">
        <v>1377</v>
      </c>
      <c r="E375" s="172">
        <v>0</v>
      </c>
      <c r="F375" s="172">
        <v>-9748776.77</v>
      </c>
      <c r="G375" s="221">
        <f t="shared" si="56"/>
        <v>-9748776.77</v>
      </c>
      <c r="H375" s="222">
        <v>0</v>
      </c>
      <c r="I375" s="222">
        <v>0</v>
      </c>
      <c r="J375" s="222">
        <v>0</v>
      </c>
      <c r="K375" s="222">
        <v>0</v>
      </c>
      <c r="L375" s="222">
        <f t="shared" si="57"/>
        <v>0</v>
      </c>
      <c r="M375" s="222">
        <v>0</v>
      </c>
      <c r="N375" s="222">
        <v>0</v>
      </c>
      <c r="O375" s="222">
        <v>0</v>
      </c>
      <c r="P375" s="222">
        <f t="shared" si="58"/>
        <v>0</v>
      </c>
      <c r="Q375" s="221">
        <v>-749289.35</v>
      </c>
      <c r="R375" s="221">
        <v>0</v>
      </c>
      <c r="S375" s="221">
        <v>0</v>
      </c>
      <c r="T375" s="221">
        <v>0</v>
      </c>
      <c r="U375" s="221">
        <f t="shared" si="59"/>
        <v>-749289.35</v>
      </c>
      <c r="V375" s="221">
        <f t="shared" si="60"/>
        <v>-10498066.12</v>
      </c>
      <c r="W375" s="172">
        <v>0</v>
      </c>
      <c r="X375" s="172">
        <f t="shared" si="61"/>
        <v>-10498066.12</v>
      </c>
      <c r="Y375" s="173">
        <v>0</v>
      </c>
      <c r="Z375" s="172">
        <f t="shared" si="62"/>
        <v>-10498066.12</v>
      </c>
    </row>
    <row r="376" spans="1:26" ht="12.75" hidden="1" outlineLevel="1">
      <c r="A376" s="172" t="s">
        <v>1378</v>
      </c>
      <c r="C376" s="173" t="s">
        <v>1379</v>
      </c>
      <c r="D376" s="173" t="s">
        <v>1380</v>
      </c>
      <c r="E376" s="172">
        <v>0</v>
      </c>
      <c r="F376" s="172">
        <v>-7672.78</v>
      </c>
      <c r="G376" s="221">
        <f t="shared" si="56"/>
        <v>-7672.78</v>
      </c>
      <c r="H376" s="222">
        <v>0</v>
      </c>
      <c r="I376" s="222">
        <v>0</v>
      </c>
      <c r="J376" s="222">
        <v>0</v>
      </c>
      <c r="K376" s="222">
        <v>0</v>
      </c>
      <c r="L376" s="222">
        <f t="shared" si="57"/>
        <v>0</v>
      </c>
      <c r="M376" s="222">
        <v>0</v>
      </c>
      <c r="N376" s="222">
        <v>0</v>
      </c>
      <c r="O376" s="222">
        <v>0</v>
      </c>
      <c r="P376" s="222">
        <f t="shared" si="58"/>
        <v>0</v>
      </c>
      <c r="Q376" s="221">
        <v>0</v>
      </c>
      <c r="R376" s="221">
        <v>0</v>
      </c>
      <c r="S376" s="221">
        <v>0</v>
      </c>
      <c r="T376" s="221">
        <v>0</v>
      </c>
      <c r="U376" s="221">
        <f t="shared" si="59"/>
        <v>0</v>
      </c>
      <c r="V376" s="221">
        <f t="shared" si="60"/>
        <v>-7672.78</v>
      </c>
      <c r="W376" s="172">
        <v>0</v>
      </c>
      <c r="X376" s="172">
        <f t="shared" si="61"/>
        <v>-7672.78</v>
      </c>
      <c r="Y376" s="173">
        <v>0</v>
      </c>
      <c r="Z376" s="172">
        <f t="shared" si="62"/>
        <v>-7672.78</v>
      </c>
    </row>
    <row r="377" spans="1:27" ht="12.75" collapsed="1">
      <c r="A377" s="173" t="s">
        <v>1381</v>
      </c>
      <c r="B377" s="214"/>
      <c r="C377" s="213" t="s">
        <v>1581</v>
      </c>
      <c r="D377" s="215"/>
      <c r="E377" s="190">
        <v>0</v>
      </c>
      <c r="F377" s="190">
        <v>296184.8599999987</v>
      </c>
      <c r="G377" s="102">
        <f t="shared" si="56"/>
        <v>296184.8599999987</v>
      </c>
      <c r="H377" s="102">
        <v>54491.47000000006</v>
      </c>
      <c r="I377" s="102">
        <v>0</v>
      </c>
      <c r="J377" s="102">
        <v>0</v>
      </c>
      <c r="K377" s="102">
        <v>-22581.46</v>
      </c>
      <c r="L377" s="102">
        <f t="shared" si="57"/>
        <v>-22581.46</v>
      </c>
      <c r="M377" s="102">
        <v>0</v>
      </c>
      <c r="N377" s="102">
        <v>0</v>
      </c>
      <c r="O377" s="102">
        <v>0</v>
      </c>
      <c r="P377" s="102">
        <f t="shared" si="58"/>
        <v>0</v>
      </c>
      <c r="Q377" s="102">
        <v>426109.5</v>
      </c>
      <c r="R377" s="102">
        <v>0</v>
      </c>
      <c r="S377" s="102">
        <v>0</v>
      </c>
      <c r="T377" s="102">
        <v>0</v>
      </c>
      <c r="U377" s="102">
        <f t="shared" si="59"/>
        <v>426109.5</v>
      </c>
      <c r="V377" s="102">
        <f t="shared" si="60"/>
        <v>754204.3699999987</v>
      </c>
      <c r="W377" s="190">
        <v>0</v>
      </c>
      <c r="X377" s="190">
        <f t="shared" si="61"/>
        <v>754204.3699999987</v>
      </c>
      <c r="Y377" s="190">
        <v>0</v>
      </c>
      <c r="Z377" s="190">
        <f t="shared" si="62"/>
        <v>754204.3699999987</v>
      </c>
      <c r="AA377" s="173"/>
    </row>
    <row r="378" spans="1:27" ht="12.75">
      <c r="A378" s="173" t="s">
        <v>1382</v>
      </c>
      <c r="B378" s="214"/>
      <c r="C378" s="213" t="s">
        <v>1383</v>
      </c>
      <c r="D378" s="215"/>
      <c r="E378" s="190">
        <v>0</v>
      </c>
      <c r="F378" s="190">
        <v>0</v>
      </c>
      <c r="G378" s="102">
        <f t="shared" si="56"/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f t="shared" si="57"/>
        <v>0</v>
      </c>
      <c r="M378" s="102">
        <v>0</v>
      </c>
      <c r="N378" s="102">
        <v>0</v>
      </c>
      <c r="O378" s="102">
        <v>0</v>
      </c>
      <c r="P378" s="102">
        <f t="shared" si="58"/>
        <v>0</v>
      </c>
      <c r="Q378" s="102">
        <v>0</v>
      </c>
      <c r="R378" s="102">
        <v>0</v>
      </c>
      <c r="S378" s="102">
        <v>0</v>
      </c>
      <c r="T378" s="102">
        <v>0</v>
      </c>
      <c r="U378" s="102">
        <f t="shared" si="59"/>
        <v>0</v>
      </c>
      <c r="V378" s="102">
        <f t="shared" si="60"/>
        <v>0</v>
      </c>
      <c r="W378" s="190">
        <v>0</v>
      </c>
      <c r="X378" s="190">
        <f t="shared" si="61"/>
        <v>0</v>
      </c>
      <c r="Y378" s="190">
        <v>0</v>
      </c>
      <c r="Z378" s="190">
        <f t="shared" si="62"/>
        <v>0</v>
      </c>
      <c r="AA378" s="173"/>
    </row>
    <row r="379" spans="1:27" ht="15">
      <c r="A379" s="211"/>
      <c r="B379" s="214"/>
      <c r="C379" s="213"/>
      <c r="D379" s="215"/>
      <c r="E379" s="190"/>
      <c r="F379" s="190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90"/>
      <c r="X379" s="190"/>
      <c r="Y379" s="190"/>
      <c r="Z379" s="190"/>
      <c r="AA379" s="211"/>
    </row>
    <row r="380" spans="1:27" s="224" customFormat="1" ht="15.75">
      <c r="A380" s="218"/>
      <c r="B380" s="219"/>
      <c r="C380" s="220" t="s">
        <v>1384</v>
      </c>
      <c r="D380" s="74"/>
      <c r="E380" s="152">
        <f aca="true" t="shared" si="63" ref="E380:Z380">E351+E359+E368+E377+E378</f>
        <v>10048.24</v>
      </c>
      <c r="F380" s="152">
        <f t="shared" si="63"/>
        <v>-9008352.39</v>
      </c>
      <c r="G380" s="104">
        <f t="shared" si="63"/>
        <v>-8998304.150000002</v>
      </c>
      <c r="H380" s="104">
        <f t="shared" si="63"/>
        <v>6390133.81</v>
      </c>
      <c r="I380" s="104">
        <f t="shared" si="63"/>
        <v>2061.45</v>
      </c>
      <c r="J380" s="104">
        <f t="shared" si="63"/>
        <v>0</v>
      </c>
      <c r="K380" s="104">
        <f t="shared" si="63"/>
        <v>29302.36</v>
      </c>
      <c r="L380" s="104">
        <f t="shared" si="63"/>
        <v>31363.810000000005</v>
      </c>
      <c r="M380" s="104">
        <f t="shared" si="63"/>
        <v>0</v>
      </c>
      <c r="N380" s="104">
        <f t="shared" si="63"/>
        <v>6909054.65</v>
      </c>
      <c r="O380" s="104">
        <f t="shared" si="63"/>
        <v>-322418.15</v>
      </c>
      <c r="P380" s="104">
        <f t="shared" si="63"/>
        <v>6586636.5</v>
      </c>
      <c r="Q380" s="104">
        <f t="shared" si="63"/>
        <v>5484454.65</v>
      </c>
      <c r="R380" s="104">
        <f t="shared" si="63"/>
        <v>47541.759999999995</v>
      </c>
      <c r="S380" s="104">
        <f t="shared" si="63"/>
        <v>-61640.80000000028</v>
      </c>
      <c r="T380" s="104">
        <f t="shared" si="63"/>
        <v>1153340.62</v>
      </c>
      <c r="U380" s="104">
        <f t="shared" si="63"/>
        <v>6623696.23</v>
      </c>
      <c r="V380" s="104">
        <f t="shared" si="63"/>
        <v>10633526.200000001</v>
      </c>
      <c r="W380" s="152">
        <f t="shared" si="63"/>
        <v>0</v>
      </c>
      <c r="X380" s="152">
        <f t="shared" si="63"/>
        <v>10633526.200000001</v>
      </c>
      <c r="Y380" s="152">
        <f t="shared" si="63"/>
        <v>493743.86</v>
      </c>
      <c r="Z380" s="152">
        <f t="shared" si="63"/>
        <v>11127270.06</v>
      </c>
      <c r="AA380" s="218"/>
    </row>
    <row r="381" spans="1:27" ht="15">
      <c r="A381" s="211"/>
      <c r="B381" s="214"/>
      <c r="C381" s="220"/>
      <c r="D381" s="215"/>
      <c r="E381" s="190"/>
      <c r="F381" s="190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90"/>
      <c r="X381" s="190"/>
      <c r="Y381" s="190"/>
      <c r="Z381" s="190"/>
      <c r="AA381" s="211"/>
    </row>
    <row r="382" spans="1:27" ht="15.75">
      <c r="A382" s="223"/>
      <c r="B382" s="219"/>
      <c r="C382" s="220" t="s">
        <v>1385</v>
      </c>
      <c r="D382" s="74"/>
      <c r="E382" s="152">
        <f aca="true" t="shared" si="64" ref="E382:Z382">E380+E316</f>
        <v>0</v>
      </c>
      <c r="F382" s="152">
        <f t="shared" si="64"/>
        <v>-2106644.230000004</v>
      </c>
      <c r="G382" s="104">
        <f t="shared" si="64"/>
        <v>-2106644.2300000153</v>
      </c>
      <c r="H382" s="104">
        <f t="shared" si="64"/>
        <v>-1501495.7399999974</v>
      </c>
      <c r="I382" s="104">
        <f t="shared" si="64"/>
        <v>20574.3</v>
      </c>
      <c r="J382" s="104">
        <f t="shared" si="64"/>
        <v>0</v>
      </c>
      <c r="K382" s="104">
        <f t="shared" si="64"/>
        <v>272533.9</v>
      </c>
      <c r="L382" s="104">
        <f t="shared" si="64"/>
        <v>293108.2</v>
      </c>
      <c r="M382" s="104">
        <f t="shared" si="64"/>
        <v>0</v>
      </c>
      <c r="N382" s="104">
        <f t="shared" si="64"/>
        <v>6909054.65</v>
      </c>
      <c r="O382" s="104">
        <f t="shared" si="64"/>
        <v>-322418.15</v>
      </c>
      <c r="P382" s="104">
        <f t="shared" si="64"/>
        <v>6586636.5</v>
      </c>
      <c r="Q382" s="104">
        <f t="shared" si="64"/>
        <v>-652953.3599999994</v>
      </c>
      <c r="R382" s="104">
        <f t="shared" si="64"/>
        <v>-661312.47</v>
      </c>
      <c r="S382" s="104">
        <f t="shared" si="64"/>
        <v>-61640.80000000028</v>
      </c>
      <c r="T382" s="104">
        <f t="shared" si="64"/>
        <v>86469.4000000013</v>
      </c>
      <c r="U382" s="104">
        <f t="shared" si="64"/>
        <v>-1289437.2299999986</v>
      </c>
      <c r="V382" s="104">
        <f t="shared" si="64"/>
        <v>1982167.4999999683</v>
      </c>
      <c r="W382" s="152">
        <f t="shared" si="64"/>
        <v>0</v>
      </c>
      <c r="X382" s="152">
        <f t="shared" si="64"/>
        <v>1982167.4999999683</v>
      </c>
      <c r="Y382" s="152">
        <f t="shared" si="64"/>
        <v>182742.1499999991</v>
      </c>
      <c r="Z382" s="152">
        <f t="shared" si="64"/>
        <v>2164909.6499999743</v>
      </c>
      <c r="AA382" s="226"/>
    </row>
    <row r="383" spans="1:27" ht="15">
      <c r="A383" s="211"/>
      <c r="B383" s="214"/>
      <c r="C383" s="213"/>
      <c r="D383" s="215"/>
      <c r="E383" s="190"/>
      <c r="F383" s="190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90"/>
      <c r="X383" s="190"/>
      <c r="Y383" s="190"/>
      <c r="Z383" s="190"/>
      <c r="AA383" s="211"/>
    </row>
    <row r="384" spans="1:26" ht="12.75" hidden="1" outlineLevel="1">
      <c r="A384" s="172" t="s">
        <v>1386</v>
      </c>
      <c r="C384" s="173" t="s">
        <v>1387</v>
      </c>
      <c r="D384" s="173" t="s">
        <v>1388</v>
      </c>
      <c r="E384" s="172">
        <v>0</v>
      </c>
      <c r="F384" s="172">
        <v>19862807.910000004</v>
      </c>
      <c r="G384" s="221">
        <f>E384+F384</f>
        <v>19862807.910000004</v>
      </c>
      <c r="H384" s="222">
        <v>9923037.850000001</v>
      </c>
      <c r="I384" s="222">
        <v>95469.68</v>
      </c>
      <c r="J384" s="222">
        <v>0</v>
      </c>
      <c r="K384" s="222">
        <v>3099452.19</v>
      </c>
      <c r="L384" s="222">
        <f>J384+I384+K384</f>
        <v>3194921.87</v>
      </c>
      <c r="M384" s="222">
        <v>0</v>
      </c>
      <c r="N384" s="222">
        <v>25198781.3</v>
      </c>
      <c r="O384" s="222">
        <v>7701464.640000001</v>
      </c>
      <c r="P384" s="222">
        <f>M384+N384+O384</f>
        <v>32900245.94</v>
      </c>
      <c r="Q384" s="221">
        <v>8207174.46</v>
      </c>
      <c r="R384" s="221">
        <v>739765.66</v>
      </c>
      <c r="S384" s="221">
        <v>249292.22</v>
      </c>
      <c r="T384" s="221">
        <v>187423503.38</v>
      </c>
      <c r="U384" s="221">
        <f>Q384+R384+S384+T384</f>
        <v>196619735.72</v>
      </c>
      <c r="V384" s="221">
        <f>G384+H384+L384+P384+U384</f>
        <v>262500749.29000002</v>
      </c>
      <c r="W384" s="172">
        <v>0</v>
      </c>
      <c r="X384" s="172">
        <f>V384+W384</f>
        <v>262500749.29000002</v>
      </c>
      <c r="Y384" s="173">
        <v>1575841.64</v>
      </c>
      <c r="Z384" s="172">
        <f>X384+Y384</f>
        <v>264076590.93</v>
      </c>
    </row>
    <row r="385" spans="1:27" ht="15.75" collapsed="1">
      <c r="A385" s="218" t="s">
        <v>1389</v>
      </c>
      <c r="B385" s="214"/>
      <c r="C385" s="220" t="s">
        <v>1584</v>
      </c>
      <c r="D385" s="74"/>
      <c r="E385" s="152">
        <v>0</v>
      </c>
      <c r="F385" s="152">
        <v>19862807.910000004</v>
      </c>
      <c r="G385" s="104">
        <f>E385+F385</f>
        <v>19862807.910000004</v>
      </c>
      <c r="H385" s="104">
        <v>9923037.850000001</v>
      </c>
      <c r="I385" s="104">
        <v>95469.68</v>
      </c>
      <c r="J385" s="104">
        <v>0</v>
      </c>
      <c r="K385" s="104">
        <v>3099452.19</v>
      </c>
      <c r="L385" s="104">
        <f>J385+I385+K385</f>
        <v>3194921.87</v>
      </c>
      <c r="M385" s="104">
        <v>0</v>
      </c>
      <c r="N385" s="104">
        <v>25198781.3</v>
      </c>
      <c r="O385" s="104">
        <v>7701464.640000001</v>
      </c>
      <c r="P385" s="104">
        <f>M385+N385+O385</f>
        <v>32900245.94</v>
      </c>
      <c r="Q385" s="104">
        <v>8207174.46</v>
      </c>
      <c r="R385" s="104">
        <v>739765.66</v>
      </c>
      <c r="S385" s="104">
        <v>249292.22</v>
      </c>
      <c r="T385" s="104">
        <v>187423503.38</v>
      </c>
      <c r="U385" s="104">
        <f>Q385+R385+S385+T385</f>
        <v>196619735.72</v>
      </c>
      <c r="V385" s="104">
        <f>G385+H385+L385+P385+U385</f>
        <v>262500749.29000002</v>
      </c>
      <c r="W385" s="152">
        <v>0</v>
      </c>
      <c r="X385" s="152">
        <f>V385+W385</f>
        <v>262500749.29000002</v>
      </c>
      <c r="Y385" s="152">
        <v>1575841.64</v>
      </c>
      <c r="Z385" s="152">
        <f>X385+Y385</f>
        <v>264076590.93</v>
      </c>
      <c r="AA385" s="218"/>
    </row>
    <row r="386" spans="1:27" ht="15.75">
      <c r="A386" s="218"/>
      <c r="B386" s="214"/>
      <c r="C386" s="220"/>
      <c r="D386" s="74"/>
      <c r="E386" s="152"/>
      <c r="F386" s="152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52"/>
      <c r="X386" s="152"/>
      <c r="Y386" s="152"/>
      <c r="Z386" s="152"/>
      <c r="AA386" s="218"/>
    </row>
    <row r="387" spans="1:27" ht="15.75">
      <c r="A387" s="218"/>
      <c r="B387" s="214"/>
      <c r="C387" s="220" t="s">
        <v>1585</v>
      </c>
      <c r="D387" s="74"/>
      <c r="E387" s="152" t="e">
        <f>E382+#REF!</f>
        <v>#REF!</v>
      </c>
      <c r="F387" s="152" t="e">
        <f>F382+#REF!</f>
        <v>#REF!</v>
      </c>
      <c r="G387" s="227">
        <f aca="true" t="shared" si="65" ref="G387:V387">G382+G385</f>
        <v>17756163.67999999</v>
      </c>
      <c r="H387" s="227">
        <f t="shared" si="65"/>
        <v>8421542.110000003</v>
      </c>
      <c r="I387" s="227">
        <f t="shared" si="65"/>
        <v>116043.98</v>
      </c>
      <c r="J387" s="227">
        <f t="shared" si="65"/>
        <v>0</v>
      </c>
      <c r="K387" s="227">
        <f t="shared" si="65"/>
        <v>3371986.09</v>
      </c>
      <c r="L387" s="227">
        <f t="shared" si="65"/>
        <v>3488030.0700000003</v>
      </c>
      <c r="M387" s="227">
        <f t="shared" si="65"/>
        <v>0</v>
      </c>
      <c r="N387" s="227">
        <f t="shared" si="65"/>
        <v>32107835.950000003</v>
      </c>
      <c r="O387" s="227">
        <f t="shared" si="65"/>
        <v>7379046.49</v>
      </c>
      <c r="P387" s="227">
        <f t="shared" si="65"/>
        <v>39486882.44</v>
      </c>
      <c r="Q387" s="227">
        <f t="shared" si="65"/>
        <v>7554221.100000001</v>
      </c>
      <c r="R387" s="227">
        <f t="shared" si="65"/>
        <v>78453.19000000006</v>
      </c>
      <c r="S387" s="227">
        <f t="shared" si="65"/>
        <v>187651.41999999972</v>
      </c>
      <c r="T387" s="227">
        <f t="shared" si="65"/>
        <v>187509972.78</v>
      </c>
      <c r="U387" s="227">
        <f t="shared" si="65"/>
        <v>195330298.49</v>
      </c>
      <c r="V387" s="227">
        <f t="shared" si="65"/>
        <v>264482916.79</v>
      </c>
      <c r="W387" s="228" t="e">
        <f>W382+#REF!</f>
        <v>#REF!</v>
      </c>
      <c r="X387" s="228" t="e">
        <f>X382+#REF!</f>
        <v>#REF!</v>
      </c>
      <c r="Y387" s="228" t="e">
        <f>Y382+#REF!</f>
        <v>#REF!</v>
      </c>
      <c r="Z387" s="228" t="e">
        <f>Z382+#REF!</f>
        <v>#REF!</v>
      </c>
      <c r="AA387" s="218"/>
    </row>
    <row r="388" spans="5:25" ht="12.75">
      <c r="E388" s="229"/>
      <c r="F388" s="229"/>
      <c r="G388" s="172"/>
      <c r="U388" s="172"/>
      <c r="V388" s="172"/>
      <c r="Y388" s="172"/>
    </row>
    <row r="389" spans="5:25" ht="12.75">
      <c r="E389" s="229"/>
      <c r="F389" s="229"/>
      <c r="G389" s="172"/>
      <c r="U389" s="172"/>
      <c r="V389" s="172"/>
      <c r="Y389" s="172"/>
    </row>
    <row r="390" spans="5:25" ht="12.75">
      <c r="E390" s="229"/>
      <c r="F390" s="229"/>
      <c r="G390" s="172"/>
      <c r="I390" s="229"/>
      <c r="J390" s="229"/>
      <c r="K390" s="229"/>
      <c r="M390" s="229"/>
      <c r="N390" s="229"/>
      <c r="O390" s="229"/>
      <c r="Q390" s="229"/>
      <c r="R390" s="229"/>
      <c r="S390" s="229"/>
      <c r="T390" s="229"/>
      <c r="U390" s="172"/>
      <c r="V390" s="172"/>
      <c r="Y390" s="172"/>
    </row>
    <row r="391" spans="5:25" ht="12.75">
      <c r="E391" s="229"/>
      <c r="F391" s="229"/>
      <c r="G391" s="172"/>
      <c r="I391" s="229"/>
      <c r="J391" s="229"/>
      <c r="K391" s="229"/>
      <c r="M391" s="229"/>
      <c r="N391" s="229"/>
      <c r="O391" s="229"/>
      <c r="Q391" s="229"/>
      <c r="R391" s="229"/>
      <c r="S391" s="229"/>
      <c r="T391" s="229"/>
      <c r="U391" s="172"/>
      <c r="V391" s="172"/>
      <c r="Y391" s="172"/>
    </row>
    <row r="392" spans="5:25" ht="12.75">
      <c r="E392" s="229"/>
      <c r="F392" s="229"/>
      <c r="G392" s="172"/>
      <c r="I392" s="229"/>
      <c r="J392" s="229"/>
      <c r="K392" s="229"/>
      <c r="M392" s="229"/>
      <c r="N392" s="229"/>
      <c r="O392" s="229"/>
      <c r="Q392" s="229"/>
      <c r="R392" s="229"/>
      <c r="S392" s="229"/>
      <c r="T392" s="229"/>
      <c r="U392" s="172"/>
      <c r="V392" s="172"/>
      <c r="Y392" s="172"/>
    </row>
    <row r="393" spans="5:25" ht="12.75">
      <c r="E393" s="229"/>
      <c r="F393" s="229"/>
      <c r="G393" s="172"/>
      <c r="I393" s="229"/>
      <c r="J393" s="229"/>
      <c r="K393" s="229"/>
      <c r="M393" s="229"/>
      <c r="N393" s="229"/>
      <c r="O393" s="229"/>
      <c r="Q393" s="229"/>
      <c r="R393" s="229"/>
      <c r="S393" s="229"/>
      <c r="T393" s="229"/>
      <c r="U393" s="172"/>
      <c r="V393" s="172"/>
      <c r="Y393" s="172"/>
    </row>
    <row r="394" spans="5:25" ht="12.75">
      <c r="E394" s="229"/>
      <c r="F394" s="229"/>
      <c r="G394" s="172"/>
      <c r="I394" s="229"/>
      <c r="J394" s="229"/>
      <c r="K394" s="229"/>
      <c r="M394" s="229"/>
      <c r="N394" s="229"/>
      <c r="O394" s="229"/>
      <c r="Q394" s="229"/>
      <c r="R394" s="229"/>
      <c r="S394" s="229"/>
      <c r="T394" s="229"/>
      <c r="U394" s="172"/>
      <c r="V394" s="172"/>
      <c r="Y394" s="172"/>
    </row>
    <row r="395" spans="5:25" ht="12.75">
      <c r="E395" s="229"/>
      <c r="F395" s="229"/>
      <c r="G395" s="172"/>
      <c r="I395" s="229"/>
      <c r="J395" s="229"/>
      <c r="K395" s="229"/>
      <c r="M395" s="229"/>
      <c r="N395" s="229"/>
      <c r="O395" s="229"/>
      <c r="Q395" s="229"/>
      <c r="R395" s="229"/>
      <c r="S395" s="229"/>
      <c r="T395" s="229"/>
      <c r="U395" s="172"/>
      <c r="V395" s="172"/>
      <c r="Y395" s="172"/>
    </row>
    <row r="396" spans="5:25" ht="12.75">
      <c r="E396" s="229"/>
      <c r="F396" s="229"/>
      <c r="G396" s="172"/>
      <c r="I396" s="229"/>
      <c r="J396" s="229"/>
      <c r="K396" s="229"/>
      <c r="M396" s="229"/>
      <c r="N396" s="229"/>
      <c r="O396" s="229"/>
      <c r="Q396" s="229"/>
      <c r="R396" s="229"/>
      <c r="S396" s="229"/>
      <c r="T396" s="229"/>
      <c r="U396" s="172"/>
      <c r="V396" s="172"/>
      <c r="Y396" s="172"/>
    </row>
    <row r="397" spans="5:25" ht="12.75">
      <c r="E397" s="229"/>
      <c r="F397" s="229"/>
      <c r="G397" s="172"/>
      <c r="I397" s="229"/>
      <c r="J397" s="229"/>
      <c r="K397" s="229"/>
      <c r="M397" s="229"/>
      <c r="N397" s="229"/>
      <c r="O397" s="229"/>
      <c r="Q397" s="229"/>
      <c r="R397" s="229"/>
      <c r="S397" s="229"/>
      <c r="T397" s="229"/>
      <c r="U397" s="172"/>
      <c r="V397" s="172"/>
      <c r="Y397" s="172"/>
    </row>
    <row r="398" spans="5:25" ht="12.75">
      <c r="E398" s="229"/>
      <c r="F398" s="229"/>
      <c r="G398" s="172"/>
      <c r="I398" s="229"/>
      <c r="J398" s="229"/>
      <c r="K398" s="229"/>
      <c r="M398" s="229"/>
      <c r="N398" s="229"/>
      <c r="O398" s="229"/>
      <c r="Q398" s="229"/>
      <c r="R398" s="229"/>
      <c r="S398" s="229"/>
      <c r="T398" s="229"/>
      <c r="U398" s="172"/>
      <c r="V398" s="172"/>
      <c r="Y398" s="172"/>
    </row>
    <row r="399" spans="5:25" ht="12.75">
      <c r="E399" s="229"/>
      <c r="F399" s="229"/>
      <c r="G399" s="172"/>
      <c r="I399" s="229"/>
      <c r="J399" s="229"/>
      <c r="K399" s="229"/>
      <c r="M399" s="229"/>
      <c r="N399" s="229"/>
      <c r="O399" s="229"/>
      <c r="Q399" s="229"/>
      <c r="R399" s="229"/>
      <c r="S399" s="229"/>
      <c r="T399" s="229"/>
      <c r="U399" s="172"/>
      <c r="V399" s="172"/>
      <c r="Y399" s="172"/>
    </row>
    <row r="400" spans="5:25" ht="12.75">
      <c r="E400" s="229"/>
      <c r="F400" s="229"/>
      <c r="G400" s="172"/>
      <c r="I400" s="229"/>
      <c r="J400" s="229"/>
      <c r="K400" s="229"/>
      <c r="M400" s="229"/>
      <c r="N400" s="229"/>
      <c r="O400" s="229"/>
      <c r="Q400" s="229"/>
      <c r="R400" s="229"/>
      <c r="S400" s="229"/>
      <c r="T400" s="229"/>
      <c r="U400" s="172"/>
      <c r="V400" s="172"/>
      <c r="Y400" s="172"/>
    </row>
    <row r="401" spans="5:25" ht="12.75">
      <c r="E401" s="229"/>
      <c r="F401" s="229"/>
      <c r="G401" s="172"/>
      <c r="I401" s="229"/>
      <c r="J401" s="229"/>
      <c r="K401" s="229"/>
      <c r="M401" s="229"/>
      <c r="N401" s="229"/>
      <c r="O401" s="229"/>
      <c r="Q401" s="229"/>
      <c r="R401" s="229"/>
      <c r="S401" s="229"/>
      <c r="T401" s="229"/>
      <c r="U401" s="172"/>
      <c r="V401" s="172"/>
      <c r="Y401" s="172"/>
    </row>
    <row r="402" spans="5:25" ht="12.75">
      <c r="E402" s="229"/>
      <c r="F402" s="229"/>
      <c r="G402" s="172"/>
      <c r="I402" s="229"/>
      <c r="J402" s="229"/>
      <c r="K402" s="229"/>
      <c r="M402" s="229"/>
      <c r="N402" s="229"/>
      <c r="O402" s="229"/>
      <c r="Q402" s="229"/>
      <c r="R402" s="229"/>
      <c r="S402" s="229"/>
      <c r="T402" s="229"/>
      <c r="U402" s="172"/>
      <c r="V402" s="172"/>
      <c r="Y402" s="172"/>
    </row>
    <row r="403" spans="5:25" ht="12.75">
      <c r="E403" s="229"/>
      <c r="F403" s="229"/>
      <c r="G403" s="172"/>
      <c r="I403" s="229"/>
      <c r="J403" s="229"/>
      <c r="K403" s="229"/>
      <c r="M403" s="229"/>
      <c r="N403" s="229"/>
      <c r="O403" s="229"/>
      <c r="Q403" s="229"/>
      <c r="R403" s="229"/>
      <c r="S403" s="229"/>
      <c r="T403" s="229"/>
      <c r="U403" s="172"/>
      <c r="V403" s="172"/>
      <c r="Y403" s="172"/>
    </row>
    <row r="404" spans="5:25" ht="12.75">
      <c r="E404" s="229"/>
      <c r="F404" s="229"/>
      <c r="G404" s="172"/>
      <c r="I404" s="229"/>
      <c r="J404" s="229"/>
      <c r="K404" s="229"/>
      <c r="M404" s="229"/>
      <c r="N404" s="229"/>
      <c r="O404" s="229"/>
      <c r="Q404" s="229"/>
      <c r="R404" s="229"/>
      <c r="S404" s="229"/>
      <c r="T404" s="229"/>
      <c r="U404" s="172"/>
      <c r="V404" s="172"/>
      <c r="Y404" s="172"/>
    </row>
    <row r="405" spans="5:25" ht="12.75">
      <c r="E405" s="229"/>
      <c r="F405" s="229"/>
      <c r="G405" s="172"/>
      <c r="I405" s="229"/>
      <c r="J405" s="229"/>
      <c r="K405" s="229"/>
      <c r="M405" s="229"/>
      <c r="N405" s="229"/>
      <c r="O405" s="229"/>
      <c r="Q405" s="229"/>
      <c r="R405" s="229"/>
      <c r="S405" s="229"/>
      <c r="T405" s="229"/>
      <c r="U405" s="172"/>
      <c r="V405" s="172"/>
      <c r="Y405" s="172"/>
    </row>
    <row r="406" spans="5:25" ht="12.75">
      <c r="E406" s="229"/>
      <c r="F406" s="229"/>
      <c r="G406" s="172"/>
      <c r="I406" s="229"/>
      <c r="J406" s="229"/>
      <c r="K406" s="229"/>
      <c r="M406" s="229"/>
      <c r="N406" s="229"/>
      <c r="O406" s="229"/>
      <c r="Q406" s="229"/>
      <c r="R406" s="229"/>
      <c r="S406" s="229"/>
      <c r="T406" s="229"/>
      <c r="U406" s="172"/>
      <c r="V406" s="172"/>
      <c r="Y406" s="172"/>
    </row>
    <row r="407" spans="5:25" ht="12.75">
      <c r="E407" s="229"/>
      <c r="F407" s="229"/>
      <c r="G407" s="172"/>
      <c r="I407" s="229"/>
      <c r="J407" s="229"/>
      <c r="K407" s="229"/>
      <c r="M407" s="229"/>
      <c r="N407" s="229"/>
      <c r="O407" s="229"/>
      <c r="Q407" s="229"/>
      <c r="R407" s="229"/>
      <c r="S407" s="229"/>
      <c r="T407" s="229"/>
      <c r="U407" s="172"/>
      <c r="V407" s="172"/>
      <c r="Y407" s="172"/>
    </row>
    <row r="408" spans="5:25" ht="12.75">
      <c r="E408" s="229"/>
      <c r="F408" s="229"/>
      <c r="G408" s="172"/>
      <c r="I408" s="229"/>
      <c r="J408" s="229"/>
      <c r="K408" s="229"/>
      <c r="M408" s="229"/>
      <c r="N408" s="229"/>
      <c r="O408" s="229"/>
      <c r="Q408" s="229"/>
      <c r="R408" s="229"/>
      <c r="S408" s="229"/>
      <c r="T408" s="229"/>
      <c r="U408" s="172"/>
      <c r="V408" s="172"/>
      <c r="Y408" s="172"/>
    </row>
    <row r="409" spans="5:25" ht="12.75">
      <c r="E409" s="229"/>
      <c r="F409" s="229"/>
      <c r="G409" s="172"/>
      <c r="I409" s="229"/>
      <c r="J409" s="229"/>
      <c r="K409" s="229"/>
      <c r="M409" s="229"/>
      <c r="N409" s="229"/>
      <c r="O409" s="229"/>
      <c r="Q409" s="229"/>
      <c r="R409" s="229"/>
      <c r="S409" s="229"/>
      <c r="T409" s="229"/>
      <c r="U409" s="172"/>
      <c r="V409" s="172"/>
      <c r="Y409" s="172"/>
    </row>
    <row r="410" spans="5:25" ht="12.75">
      <c r="E410" s="229"/>
      <c r="F410" s="229"/>
      <c r="G410" s="172"/>
      <c r="I410" s="229"/>
      <c r="J410" s="229"/>
      <c r="K410" s="229"/>
      <c r="M410" s="229"/>
      <c r="N410" s="229"/>
      <c r="O410" s="229"/>
      <c r="Q410" s="229"/>
      <c r="R410" s="229"/>
      <c r="S410" s="229"/>
      <c r="T410" s="229"/>
      <c r="U410" s="172"/>
      <c r="V410" s="172"/>
      <c r="Y410" s="172"/>
    </row>
    <row r="411" spans="5:25" ht="12.75">
      <c r="E411" s="229"/>
      <c r="F411" s="229"/>
      <c r="G411" s="172"/>
      <c r="I411" s="229"/>
      <c r="J411" s="229"/>
      <c r="K411" s="229"/>
      <c r="M411" s="229"/>
      <c r="N411" s="229"/>
      <c r="O411" s="229"/>
      <c r="Q411" s="229"/>
      <c r="R411" s="229"/>
      <c r="S411" s="229"/>
      <c r="T411" s="229"/>
      <c r="U411" s="172"/>
      <c r="V411" s="172"/>
      <c r="Y411" s="172"/>
    </row>
    <row r="412" spans="5:25" ht="12.75">
      <c r="E412" s="229"/>
      <c r="F412" s="229"/>
      <c r="G412" s="172"/>
      <c r="I412" s="229"/>
      <c r="J412" s="229"/>
      <c r="K412" s="229"/>
      <c r="M412" s="229"/>
      <c r="N412" s="229"/>
      <c r="O412" s="229"/>
      <c r="Q412" s="229"/>
      <c r="R412" s="229"/>
      <c r="S412" s="229"/>
      <c r="T412" s="229"/>
      <c r="U412" s="172"/>
      <c r="V412" s="172"/>
      <c r="Y412" s="172"/>
    </row>
    <row r="413" spans="5:25" ht="12.75">
      <c r="E413" s="229"/>
      <c r="F413" s="229"/>
      <c r="G413" s="172"/>
      <c r="I413" s="229"/>
      <c r="J413" s="229"/>
      <c r="K413" s="229"/>
      <c r="M413" s="229"/>
      <c r="N413" s="229"/>
      <c r="O413" s="229"/>
      <c r="Q413" s="229"/>
      <c r="R413" s="229"/>
      <c r="S413" s="229"/>
      <c r="T413" s="229"/>
      <c r="U413" s="172"/>
      <c r="V413" s="172"/>
      <c r="Y413" s="172"/>
    </row>
    <row r="414" spans="5:25" ht="12.75">
      <c r="E414" s="229"/>
      <c r="F414" s="229"/>
      <c r="G414" s="172"/>
      <c r="I414" s="229"/>
      <c r="J414" s="229"/>
      <c r="K414" s="229"/>
      <c r="M414" s="229"/>
      <c r="N414" s="229"/>
      <c r="O414" s="229"/>
      <c r="Q414" s="229"/>
      <c r="R414" s="229"/>
      <c r="S414" s="229"/>
      <c r="T414" s="229"/>
      <c r="U414" s="172"/>
      <c r="V414" s="172"/>
      <c r="Y414" s="172"/>
    </row>
    <row r="415" spans="5:25" ht="12.75">
      <c r="E415" s="229"/>
      <c r="F415" s="229"/>
      <c r="G415" s="172"/>
      <c r="I415" s="229"/>
      <c r="J415" s="229"/>
      <c r="K415" s="229"/>
      <c r="M415" s="229"/>
      <c r="N415" s="229"/>
      <c r="O415" s="229"/>
      <c r="Q415" s="229"/>
      <c r="R415" s="229"/>
      <c r="S415" s="229"/>
      <c r="T415" s="229"/>
      <c r="U415" s="172"/>
      <c r="V415" s="172"/>
      <c r="Y415" s="172"/>
    </row>
    <row r="416" spans="5:25" ht="12.75">
      <c r="E416" s="229"/>
      <c r="F416" s="229"/>
      <c r="G416" s="172"/>
      <c r="I416" s="229"/>
      <c r="J416" s="229"/>
      <c r="K416" s="229"/>
      <c r="M416" s="229"/>
      <c r="N416" s="229"/>
      <c r="O416" s="229"/>
      <c r="Q416" s="229"/>
      <c r="R416" s="229"/>
      <c r="S416" s="229"/>
      <c r="T416" s="229"/>
      <c r="U416" s="172"/>
      <c r="V416" s="172"/>
      <c r="Y416" s="172"/>
    </row>
    <row r="417" spans="5:25" ht="12.75">
      <c r="E417" s="229"/>
      <c r="F417" s="229"/>
      <c r="G417" s="172"/>
      <c r="I417" s="229"/>
      <c r="J417" s="229"/>
      <c r="K417" s="229"/>
      <c r="M417" s="229"/>
      <c r="N417" s="229"/>
      <c r="O417" s="229"/>
      <c r="Q417" s="229"/>
      <c r="R417" s="229"/>
      <c r="S417" s="229"/>
      <c r="T417" s="229"/>
      <c r="U417" s="172"/>
      <c r="V417" s="172"/>
      <c r="Y417" s="172"/>
    </row>
    <row r="418" spans="5:25" ht="12.75">
      <c r="E418" s="229"/>
      <c r="F418" s="229"/>
      <c r="G418" s="172"/>
      <c r="I418" s="229"/>
      <c r="J418" s="229"/>
      <c r="K418" s="229"/>
      <c r="M418" s="229"/>
      <c r="N418" s="229"/>
      <c r="O418" s="229"/>
      <c r="Q418" s="229"/>
      <c r="R418" s="229"/>
      <c r="S418" s="229"/>
      <c r="T418" s="229"/>
      <c r="U418" s="172"/>
      <c r="V418" s="172"/>
      <c r="Y418" s="172"/>
    </row>
    <row r="419" spans="5:25" ht="12.75">
      <c r="E419" s="229"/>
      <c r="F419" s="229"/>
      <c r="G419" s="172"/>
      <c r="I419" s="229"/>
      <c r="J419" s="229"/>
      <c r="K419" s="229"/>
      <c r="M419" s="229"/>
      <c r="N419" s="229"/>
      <c r="O419" s="229"/>
      <c r="Q419" s="229"/>
      <c r="R419" s="229"/>
      <c r="S419" s="229"/>
      <c r="T419" s="229"/>
      <c r="U419" s="172"/>
      <c r="V419" s="172"/>
      <c r="Y419" s="172"/>
    </row>
    <row r="420" spans="5:25" ht="12.75">
      <c r="E420" s="229"/>
      <c r="F420" s="229"/>
      <c r="G420" s="172"/>
      <c r="I420" s="229"/>
      <c r="J420" s="229"/>
      <c r="K420" s="229"/>
      <c r="M420" s="229"/>
      <c r="N420" s="229"/>
      <c r="O420" s="229"/>
      <c r="Q420" s="229"/>
      <c r="R420" s="229"/>
      <c r="S420" s="229"/>
      <c r="T420" s="229"/>
      <c r="U420" s="172"/>
      <c r="V420" s="172"/>
      <c r="Y420" s="172"/>
    </row>
    <row r="421" spans="5:25" ht="12.75">
      <c r="E421" s="229"/>
      <c r="F421" s="229"/>
      <c r="G421" s="172"/>
      <c r="I421" s="229"/>
      <c r="J421" s="229"/>
      <c r="K421" s="229"/>
      <c r="M421" s="229"/>
      <c r="N421" s="229"/>
      <c r="O421" s="229"/>
      <c r="Q421" s="229"/>
      <c r="R421" s="229"/>
      <c r="S421" s="229"/>
      <c r="T421" s="229"/>
      <c r="U421" s="172"/>
      <c r="V421" s="172"/>
      <c r="Y421" s="172"/>
    </row>
    <row r="422" spans="5:25" ht="12.75">
      <c r="E422" s="229"/>
      <c r="F422" s="229"/>
      <c r="G422" s="172"/>
      <c r="I422" s="229"/>
      <c r="J422" s="229"/>
      <c r="K422" s="229"/>
      <c r="M422" s="229"/>
      <c r="N422" s="229"/>
      <c r="O422" s="229"/>
      <c r="Q422" s="229"/>
      <c r="R422" s="229"/>
      <c r="S422" s="229"/>
      <c r="T422" s="229"/>
      <c r="U422" s="172"/>
      <c r="V422" s="172"/>
      <c r="Y422" s="172"/>
    </row>
    <row r="423" spans="5:25" ht="12.75">
      <c r="E423" s="229"/>
      <c r="F423" s="229"/>
      <c r="G423" s="172"/>
      <c r="I423" s="229"/>
      <c r="J423" s="229"/>
      <c r="K423" s="229"/>
      <c r="M423" s="229"/>
      <c r="N423" s="229"/>
      <c r="O423" s="229"/>
      <c r="Q423" s="229"/>
      <c r="R423" s="229"/>
      <c r="S423" s="229"/>
      <c r="T423" s="229"/>
      <c r="U423" s="172"/>
      <c r="V423" s="172"/>
      <c r="Y423" s="172"/>
    </row>
    <row r="424" spans="5:25" ht="12.75">
      <c r="E424" s="229"/>
      <c r="F424" s="229"/>
      <c r="G424" s="172"/>
      <c r="I424" s="229"/>
      <c r="J424" s="229"/>
      <c r="K424" s="229"/>
      <c r="M424" s="229"/>
      <c r="N424" s="229"/>
      <c r="O424" s="229"/>
      <c r="Q424" s="229"/>
      <c r="R424" s="229"/>
      <c r="S424" s="229"/>
      <c r="T424" s="229"/>
      <c r="U424" s="172"/>
      <c r="V424" s="172"/>
      <c r="Y424" s="172"/>
    </row>
    <row r="425" spans="5:25" ht="12.75">
      <c r="E425" s="229"/>
      <c r="F425" s="229"/>
      <c r="G425" s="172"/>
      <c r="I425" s="229"/>
      <c r="J425" s="229"/>
      <c r="K425" s="229"/>
      <c r="M425" s="229"/>
      <c r="N425" s="229"/>
      <c r="O425" s="229"/>
      <c r="Q425" s="229"/>
      <c r="R425" s="229"/>
      <c r="S425" s="229"/>
      <c r="T425" s="229"/>
      <c r="U425" s="172"/>
      <c r="V425" s="172"/>
      <c r="Y425" s="172"/>
    </row>
    <row r="426" spans="5:25" ht="12.75">
      <c r="E426" s="229"/>
      <c r="F426" s="229"/>
      <c r="G426" s="172"/>
      <c r="I426" s="229"/>
      <c r="J426" s="229"/>
      <c r="K426" s="229"/>
      <c r="M426" s="229"/>
      <c r="N426" s="229"/>
      <c r="O426" s="229"/>
      <c r="Q426" s="229"/>
      <c r="R426" s="229"/>
      <c r="S426" s="229"/>
      <c r="T426" s="229"/>
      <c r="U426" s="172"/>
      <c r="V426" s="172"/>
      <c r="Y426" s="172"/>
    </row>
    <row r="427" spans="5:25" ht="12.75">
      <c r="E427" s="229"/>
      <c r="F427" s="229"/>
      <c r="G427" s="172"/>
      <c r="I427" s="229"/>
      <c r="J427" s="229"/>
      <c r="K427" s="229"/>
      <c r="M427" s="229"/>
      <c r="N427" s="229"/>
      <c r="O427" s="229"/>
      <c r="Q427" s="229"/>
      <c r="R427" s="229"/>
      <c r="S427" s="229"/>
      <c r="T427" s="229"/>
      <c r="U427" s="172"/>
      <c r="V427" s="172"/>
      <c r="Y427" s="172"/>
    </row>
    <row r="428" spans="5:25" ht="12.75">
      <c r="E428" s="229"/>
      <c r="F428" s="229"/>
      <c r="G428" s="172"/>
      <c r="I428" s="229"/>
      <c r="J428" s="229"/>
      <c r="K428" s="229"/>
      <c r="M428" s="229"/>
      <c r="N428" s="229"/>
      <c r="O428" s="229"/>
      <c r="Q428" s="229"/>
      <c r="R428" s="229"/>
      <c r="S428" s="229"/>
      <c r="T428" s="229"/>
      <c r="U428" s="172"/>
      <c r="V428" s="172"/>
      <c r="Y428" s="172"/>
    </row>
    <row r="429" spans="5:25" ht="12.75">
      <c r="E429" s="229"/>
      <c r="F429" s="229"/>
      <c r="G429" s="172"/>
      <c r="I429" s="229"/>
      <c r="J429" s="229"/>
      <c r="K429" s="229"/>
      <c r="M429" s="229"/>
      <c r="N429" s="229"/>
      <c r="O429" s="229"/>
      <c r="Q429" s="229"/>
      <c r="R429" s="229"/>
      <c r="S429" s="229"/>
      <c r="T429" s="229"/>
      <c r="U429" s="172"/>
      <c r="V429" s="172"/>
      <c r="Y429" s="172"/>
    </row>
    <row r="430" spans="5:25" ht="12.75">
      <c r="E430" s="229"/>
      <c r="F430" s="229"/>
      <c r="G430" s="172"/>
      <c r="I430" s="229"/>
      <c r="J430" s="229"/>
      <c r="K430" s="229"/>
      <c r="M430" s="229"/>
      <c r="N430" s="229"/>
      <c r="O430" s="229"/>
      <c r="Q430" s="229"/>
      <c r="R430" s="229"/>
      <c r="S430" s="229"/>
      <c r="T430" s="229"/>
      <c r="U430" s="172"/>
      <c r="V430" s="172"/>
      <c r="Y430" s="172"/>
    </row>
    <row r="431" spans="5:25" ht="12.75">
      <c r="E431" s="229"/>
      <c r="F431" s="229"/>
      <c r="G431" s="172"/>
      <c r="I431" s="229"/>
      <c r="J431" s="229"/>
      <c r="K431" s="229"/>
      <c r="M431" s="229"/>
      <c r="N431" s="229"/>
      <c r="O431" s="229"/>
      <c r="Q431" s="229"/>
      <c r="R431" s="229"/>
      <c r="S431" s="229"/>
      <c r="T431" s="229"/>
      <c r="U431" s="172"/>
      <c r="V431" s="172"/>
      <c r="Y431" s="172"/>
    </row>
    <row r="432" spans="5:25" ht="12.75">
      <c r="E432" s="229"/>
      <c r="F432" s="229"/>
      <c r="G432" s="172"/>
      <c r="I432" s="229"/>
      <c r="J432" s="229"/>
      <c r="K432" s="229"/>
      <c r="M432" s="229"/>
      <c r="N432" s="229"/>
      <c r="O432" s="229"/>
      <c r="Q432" s="229"/>
      <c r="R432" s="229"/>
      <c r="S432" s="229"/>
      <c r="T432" s="229"/>
      <c r="U432" s="172"/>
      <c r="V432" s="172"/>
      <c r="Y432" s="172"/>
    </row>
    <row r="433" spans="5:25" ht="12.75">
      <c r="E433" s="229"/>
      <c r="F433" s="229"/>
      <c r="G433" s="172"/>
      <c r="I433" s="229"/>
      <c r="J433" s="229"/>
      <c r="K433" s="229"/>
      <c r="M433" s="229"/>
      <c r="N433" s="229"/>
      <c r="O433" s="229"/>
      <c r="Q433" s="229"/>
      <c r="R433" s="229"/>
      <c r="S433" s="229"/>
      <c r="T433" s="229"/>
      <c r="U433" s="172"/>
      <c r="V433" s="172"/>
      <c r="Y433" s="172"/>
    </row>
    <row r="434" spans="5:25" ht="12.75">
      <c r="E434" s="229"/>
      <c r="F434" s="229"/>
      <c r="G434" s="172"/>
      <c r="I434" s="229"/>
      <c r="J434" s="229"/>
      <c r="K434" s="229"/>
      <c r="M434" s="229"/>
      <c r="N434" s="229"/>
      <c r="O434" s="229"/>
      <c r="Q434" s="229"/>
      <c r="R434" s="229"/>
      <c r="S434" s="229"/>
      <c r="T434" s="229"/>
      <c r="U434" s="172"/>
      <c r="V434" s="172"/>
      <c r="Y434" s="172"/>
    </row>
    <row r="435" spans="5:25" ht="12.75">
      <c r="E435" s="229"/>
      <c r="F435" s="229"/>
      <c r="G435" s="172"/>
      <c r="I435" s="229"/>
      <c r="J435" s="229"/>
      <c r="K435" s="229"/>
      <c r="M435" s="229"/>
      <c r="N435" s="229"/>
      <c r="O435" s="229"/>
      <c r="Q435" s="229"/>
      <c r="R435" s="229"/>
      <c r="S435" s="229"/>
      <c r="T435" s="229"/>
      <c r="U435" s="172"/>
      <c r="V435" s="172"/>
      <c r="Y435" s="172"/>
    </row>
    <row r="436" spans="5:25" ht="12.75">
      <c r="E436" s="229"/>
      <c r="F436" s="229"/>
      <c r="G436" s="172"/>
      <c r="I436" s="229"/>
      <c r="J436" s="229"/>
      <c r="K436" s="229"/>
      <c r="M436" s="229"/>
      <c r="N436" s="229"/>
      <c r="O436" s="229"/>
      <c r="Q436" s="229"/>
      <c r="R436" s="229"/>
      <c r="S436" s="229"/>
      <c r="T436" s="229"/>
      <c r="U436" s="172"/>
      <c r="V436" s="172"/>
      <c r="Y436" s="172"/>
    </row>
    <row r="437" spans="5:25" ht="12.75">
      <c r="E437" s="229"/>
      <c r="F437" s="229"/>
      <c r="G437" s="172"/>
      <c r="I437" s="229"/>
      <c r="J437" s="229"/>
      <c r="K437" s="229"/>
      <c r="M437" s="229"/>
      <c r="N437" s="229"/>
      <c r="O437" s="229"/>
      <c r="Q437" s="229"/>
      <c r="R437" s="229"/>
      <c r="S437" s="229"/>
      <c r="T437" s="229"/>
      <c r="U437" s="172"/>
      <c r="V437" s="172"/>
      <c r="Y437" s="172"/>
    </row>
    <row r="438" spans="5:25" ht="12.75">
      <c r="E438" s="229"/>
      <c r="F438" s="229"/>
      <c r="G438" s="172"/>
      <c r="I438" s="229"/>
      <c r="J438" s="229"/>
      <c r="K438" s="229"/>
      <c r="M438" s="229"/>
      <c r="N438" s="229"/>
      <c r="O438" s="229"/>
      <c r="Q438" s="229"/>
      <c r="R438" s="229"/>
      <c r="S438" s="229"/>
      <c r="T438" s="229"/>
      <c r="U438" s="172"/>
      <c r="V438" s="172"/>
      <c r="Y438" s="172"/>
    </row>
    <row r="439" spans="5:25" ht="12.75">
      <c r="E439" s="229"/>
      <c r="F439" s="229"/>
      <c r="G439" s="172"/>
      <c r="I439" s="229"/>
      <c r="J439" s="229"/>
      <c r="K439" s="229"/>
      <c r="M439" s="229"/>
      <c r="N439" s="229"/>
      <c r="O439" s="229"/>
      <c r="Q439" s="229"/>
      <c r="R439" s="229"/>
      <c r="S439" s="229"/>
      <c r="T439" s="229"/>
      <c r="U439" s="172"/>
      <c r="V439" s="172"/>
      <c r="Y439" s="172"/>
    </row>
    <row r="440" spans="5:25" ht="12.75">
      <c r="E440" s="229"/>
      <c r="F440" s="229"/>
      <c r="G440" s="172"/>
      <c r="I440" s="229"/>
      <c r="J440" s="229"/>
      <c r="K440" s="229"/>
      <c r="M440" s="229"/>
      <c r="N440" s="229"/>
      <c r="O440" s="229"/>
      <c r="Q440" s="229"/>
      <c r="R440" s="229"/>
      <c r="S440" s="229"/>
      <c r="T440" s="229"/>
      <c r="U440" s="172"/>
      <c r="V440" s="172"/>
      <c r="Y440" s="172"/>
    </row>
    <row r="441" spans="5:25" ht="12.75">
      <c r="E441" s="229"/>
      <c r="F441" s="229"/>
      <c r="G441" s="172"/>
      <c r="I441" s="229"/>
      <c r="J441" s="229"/>
      <c r="K441" s="229"/>
      <c r="M441" s="229"/>
      <c r="N441" s="229"/>
      <c r="O441" s="229"/>
      <c r="Q441" s="229"/>
      <c r="R441" s="229"/>
      <c r="S441" s="229"/>
      <c r="T441" s="229"/>
      <c r="U441" s="172"/>
      <c r="V441" s="172"/>
      <c r="Y441" s="172"/>
    </row>
    <row r="442" spans="5:25" ht="12.75">
      <c r="E442" s="229"/>
      <c r="F442" s="229"/>
      <c r="G442" s="172"/>
      <c r="I442" s="229"/>
      <c r="J442" s="229"/>
      <c r="K442" s="229"/>
      <c r="M442" s="229"/>
      <c r="N442" s="229"/>
      <c r="O442" s="229"/>
      <c r="Q442" s="229"/>
      <c r="R442" s="229"/>
      <c r="S442" s="229"/>
      <c r="T442" s="229"/>
      <c r="U442" s="172"/>
      <c r="V442" s="172"/>
      <c r="Y442" s="172"/>
    </row>
    <row r="443" spans="5:25" ht="12.75">
      <c r="E443" s="229"/>
      <c r="F443" s="229"/>
      <c r="G443" s="172"/>
      <c r="I443" s="229"/>
      <c r="J443" s="229"/>
      <c r="K443" s="229"/>
      <c r="M443" s="229"/>
      <c r="N443" s="229"/>
      <c r="O443" s="229"/>
      <c r="Q443" s="229"/>
      <c r="R443" s="229"/>
      <c r="S443" s="229"/>
      <c r="T443" s="229"/>
      <c r="U443" s="172"/>
      <c r="V443" s="172"/>
      <c r="Y443" s="172"/>
    </row>
    <row r="444" spans="5:25" ht="12.75">
      <c r="E444" s="229"/>
      <c r="F444" s="229"/>
      <c r="G444" s="172"/>
      <c r="I444" s="229"/>
      <c r="J444" s="229"/>
      <c r="K444" s="229"/>
      <c r="M444" s="229"/>
      <c r="N444" s="229"/>
      <c r="O444" s="229"/>
      <c r="Q444" s="229"/>
      <c r="R444" s="229"/>
      <c r="S444" s="229"/>
      <c r="T444" s="229"/>
      <c r="U444" s="172"/>
      <c r="V444" s="172"/>
      <c r="Y444" s="172"/>
    </row>
    <row r="445" spans="5:25" ht="12.75">
      <c r="E445" s="229"/>
      <c r="F445" s="229"/>
      <c r="G445" s="172"/>
      <c r="I445" s="229"/>
      <c r="J445" s="229"/>
      <c r="K445" s="229"/>
      <c r="M445" s="229"/>
      <c r="N445" s="229"/>
      <c r="O445" s="229"/>
      <c r="Q445" s="229"/>
      <c r="R445" s="229"/>
      <c r="S445" s="229"/>
      <c r="T445" s="229"/>
      <c r="U445" s="172"/>
      <c r="V445" s="172"/>
      <c r="Y445" s="172"/>
    </row>
    <row r="446" spans="5:25" ht="12.75">
      <c r="E446" s="229"/>
      <c r="F446" s="229"/>
      <c r="G446" s="172"/>
      <c r="I446" s="229"/>
      <c r="J446" s="229"/>
      <c r="K446" s="229"/>
      <c r="M446" s="229"/>
      <c r="N446" s="229"/>
      <c r="O446" s="229"/>
      <c r="Q446" s="229"/>
      <c r="R446" s="229"/>
      <c r="S446" s="229"/>
      <c r="T446" s="229"/>
      <c r="U446" s="172"/>
      <c r="V446" s="172"/>
      <c r="Y446" s="172"/>
    </row>
    <row r="447" spans="5:25" ht="12.75">
      <c r="E447" s="229"/>
      <c r="F447" s="229"/>
      <c r="G447" s="172"/>
      <c r="I447" s="229"/>
      <c r="J447" s="229"/>
      <c r="K447" s="229"/>
      <c r="M447" s="229"/>
      <c r="N447" s="229"/>
      <c r="O447" s="229"/>
      <c r="Q447" s="229"/>
      <c r="R447" s="229"/>
      <c r="S447" s="229"/>
      <c r="T447" s="229"/>
      <c r="U447" s="172"/>
      <c r="V447" s="172"/>
      <c r="Y447" s="172"/>
    </row>
    <row r="448" spans="5:25" ht="12.75">
      <c r="E448" s="229"/>
      <c r="F448" s="229"/>
      <c r="G448" s="172"/>
      <c r="I448" s="229"/>
      <c r="J448" s="229"/>
      <c r="K448" s="229"/>
      <c r="M448" s="229"/>
      <c r="N448" s="229"/>
      <c r="O448" s="229"/>
      <c r="Q448" s="229"/>
      <c r="R448" s="229"/>
      <c r="S448" s="229"/>
      <c r="T448" s="229"/>
      <c r="U448" s="172"/>
      <c r="V448" s="172"/>
      <c r="Y448" s="172"/>
    </row>
    <row r="449" spans="5:25" ht="12.75">
      <c r="E449" s="229"/>
      <c r="F449" s="229"/>
      <c r="G449" s="172"/>
      <c r="I449" s="229"/>
      <c r="J449" s="229"/>
      <c r="K449" s="229"/>
      <c r="M449" s="229"/>
      <c r="N449" s="229"/>
      <c r="O449" s="229"/>
      <c r="Q449" s="229"/>
      <c r="R449" s="229"/>
      <c r="S449" s="229"/>
      <c r="T449" s="229"/>
      <c r="U449" s="172"/>
      <c r="V449" s="172"/>
      <c r="Y449" s="172"/>
    </row>
    <row r="450" spans="5:25" ht="12.75">
      <c r="E450" s="229"/>
      <c r="F450" s="229"/>
      <c r="G450" s="172"/>
      <c r="I450" s="229"/>
      <c r="J450" s="229"/>
      <c r="K450" s="229"/>
      <c r="M450" s="229"/>
      <c r="N450" s="229"/>
      <c r="O450" s="229"/>
      <c r="Q450" s="229"/>
      <c r="R450" s="229"/>
      <c r="S450" s="229"/>
      <c r="T450" s="229"/>
      <c r="U450" s="172"/>
      <c r="V450" s="172"/>
      <c r="Y450" s="172"/>
    </row>
    <row r="451" spans="5:25" ht="12.75">
      <c r="E451" s="229"/>
      <c r="F451" s="229"/>
      <c r="G451" s="172"/>
      <c r="I451" s="229"/>
      <c r="J451" s="229"/>
      <c r="K451" s="229"/>
      <c r="M451" s="229"/>
      <c r="N451" s="229"/>
      <c r="O451" s="229"/>
      <c r="Q451" s="229"/>
      <c r="R451" s="229"/>
      <c r="S451" s="229"/>
      <c r="T451" s="229"/>
      <c r="U451" s="172"/>
      <c r="V451" s="172"/>
      <c r="Y451" s="172"/>
    </row>
    <row r="452" spans="5:25" ht="12.75">
      <c r="E452" s="229"/>
      <c r="F452" s="229"/>
      <c r="G452" s="172"/>
      <c r="I452" s="229"/>
      <c r="J452" s="229"/>
      <c r="K452" s="229"/>
      <c r="M452" s="229"/>
      <c r="N452" s="229"/>
      <c r="O452" s="229"/>
      <c r="Q452" s="229"/>
      <c r="R452" s="229"/>
      <c r="S452" s="229"/>
      <c r="T452" s="229"/>
      <c r="U452" s="172"/>
      <c r="V452" s="172"/>
      <c r="Y452" s="172"/>
    </row>
    <row r="453" spans="5:25" ht="12.75">
      <c r="E453" s="229"/>
      <c r="F453" s="229"/>
      <c r="G453" s="172"/>
      <c r="I453" s="229"/>
      <c r="J453" s="229"/>
      <c r="K453" s="229"/>
      <c r="M453" s="229"/>
      <c r="N453" s="229"/>
      <c r="O453" s="229"/>
      <c r="Q453" s="229"/>
      <c r="R453" s="229"/>
      <c r="S453" s="229"/>
      <c r="T453" s="229"/>
      <c r="U453" s="172"/>
      <c r="V453" s="172"/>
      <c r="Y453" s="172"/>
    </row>
    <row r="454" spans="5:25" ht="12.75">
      <c r="E454" s="229"/>
      <c r="F454" s="229"/>
      <c r="G454" s="172"/>
      <c r="I454" s="229"/>
      <c r="J454" s="229"/>
      <c r="K454" s="229"/>
      <c r="M454" s="229"/>
      <c r="N454" s="229"/>
      <c r="O454" s="229"/>
      <c r="Q454" s="229"/>
      <c r="R454" s="229"/>
      <c r="S454" s="229"/>
      <c r="T454" s="229"/>
      <c r="U454" s="172"/>
      <c r="V454" s="172"/>
      <c r="Y454" s="172"/>
    </row>
    <row r="455" spans="5:25" ht="12.75">
      <c r="E455" s="229"/>
      <c r="F455" s="229"/>
      <c r="G455" s="172"/>
      <c r="I455" s="229"/>
      <c r="J455" s="229"/>
      <c r="K455" s="229"/>
      <c r="M455" s="229"/>
      <c r="N455" s="229"/>
      <c r="O455" s="229"/>
      <c r="Q455" s="229"/>
      <c r="R455" s="229"/>
      <c r="S455" s="229"/>
      <c r="T455" s="229"/>
      <c r="U455" s="172"/>
      <c r="V455" s="172"/>
      <c r="Y455" s="172"/>
    </row>
    <row r="456" spans="5:25" ht="12.75">
      <c r="E456" s="229"/>
      <c r="F456" s="229"/>
      <c r="G456" s="172"/>
      <c r="I456" s="229"/>
      <c r="J456" s="229"/>
      <c r="K456" s="229"/>
      <c r="M456" s="229"/>
      <c r="N456" s="229"/>
      <c r="O456" s="229"/>
      <c r="Q456" s="229"/>
      <c r="R456" s="229"/>
      <c r="S456" s="229"/>
      <c r="T456" s="229"/>
      <c r="U456" s="172"/>
      <c r="V456" s="172"/>
      <c r="Y456" s="172"/>
    </row>
    <row r="457" spans="5:25" ht="12.75">
      <c r="E457" s="229"/>
      <c r="F457" s="229"/>
      <c r="G457" s="172"/>
      <c r="I457" s="229"/>
      <c r="J457" s="229"/>
      <c r="K457" s="229"/>
      <c r="M457" s="229"/>
      <c r="N457" s="229"/>
      <c r="O457" s="229"/>
      <c r="Q457" s="229"/>
      <c r="R457" s="229"/>
      <c r="S457" s="229"/>
      <c r="T457" s="229"/>
      <c r="U457" s="172"/>
      <c r="V457" s="172"/>
      <c r="Y457" s="172"/>
    </row>
    <row r="458" spans="5:25" ht="12.75">
      <c r="E458" s="229"/>
      <c r="F458" s="229"/>
      <c r="G458" s="172"/>
      <c r="I458" s="229"/>
      <c r="J458" s="229"/>
      <c r="K458" s="229"/>
      <c r="M458" s="229"/>
      <c r="N458" s="229"/>
      <c r="O458" s="229"/>
      <c r="Q458" s="229"/>
      <c r="R458" s="229"/>
      <c r="S458" s="229"/>
      <c r="T458" s="229"/>
      <c r="U458" s="172"/>
      <c r="V458" s="172"/>
      <c r="Y458" s="172"/>
    </row>
    <row r="459" spans="5:25" ht="12.75">
      <c r="E459" s="229"/>
      <c r="F459" s="229"/>
      <c r="G459" s="172"/>
      <c r="I459" s="229"/>
      <c r="J459" s="229"/>
      <c r="K459" s="229"/>
      <c r="M459" s="229"/>
      <c r="N459" s="229"/>
      <c r="O459" s="229"/>
      <c r="Q459" s="229"/>
      <c r="R459" s="229"/>
      <c r="S459" s="229"/>
      <c r="T459" s="229"/>
      <c r="U459" s="172"/>
      <c r="V459" s="172"/>
      <c r="Y459" s="172"/>
    </row>
    <row r="460" spans="5:25" ht="12.75">
      <c r="E460" s="229"/>
      <c r="F460" s="229"/>
      <c r="G460" s="172"/>
      <c r="I460" s="229"/>
      <c r="J460" s="229"/>
      <c r="K460" s="229"/>
      <c r="M460" s="229"/>
      <c r="N460" s="229"/>
      <c r="O460" s="229"/>
      <c r="Q460" s="229"/>
      <c r="R460" s="229"/>
      <c r="S460" s="229"/>
      <c r="T460" s="229"/>
      <c r="U460" s="172"/>
      <c r="V460" s="172"/>
      <c r="Y460" s="172"/>
    </row>
    <row r="461" spans="5:25" ht="12.75">
      <c r="E461" s="229"/>
      <c r="F461" s="229"/>
      <c r="G461" s="172"/>
      <c r="I461" s="229"/>
      <c r="J461" s="229"/>
      <c r="K461" s="229"/>
      <c r="M461" s="229"/>
      <c r="N461" s="229"/>
      <c r="O461" s="229"/>
      <c r="Q461" s="229"/>
      <c r="R461" s="229"/>
      <c r="S461" s="229"/>
      <c r="T461" s="229"/>
      <c r="U461" s="172"/>
      <c r="V461" s="172"/>
      <c r="Y461" s="172"/>
    </row>
    <row r="462" spans="5:25" ht="12.75">
      <c r="E462" s="229"/>
      <c r="F462" s="229"/>
      <c r="G462" s="172"/>
      <c r="I462" s="229"/>
      <c r="J462" s="229"/>
      <c r="K462" s="229"/>
      <c r="M462" s="229"/>
      <c r="N462" s="229"/>
      <c r="O462" s="229"/>
      <c r="Q462" s="229"/>
      <c r="R462" s="229"/>
      <c r="S462" s="229"/>
      <c r="T462" s="229"/>
      <c r="U462" s="172"/>
      <c r="V462" s="172"/>
      <c r="Y462" s="172"/>
    </row>
    <row r="463" spans="5:25" ht="12.75">
      <c r="E463" s="229"/>
      <c r="F463" s="229"/>
      <c r="G463" s="172"/>
      <c r="I463" s="229"/>
      <c r="J463" s="229"/>
      <c r="K463" s="229"/>
      <c r="M463" s="229"/>
      <c r="N463" s="229"/>
      <c r="O463" s="229"/>
      <c r="Q463" s="229"/>
      <c r="R463" s="229"/>
      <c r="S463" s="229"/>
      <c r="T463" s="229"/>
      <c r="U463" s="172"/>
      <c r="V463" s="172"/>
      <c r="Y463" s="172"/>
    </row>
    <row r="464" spans="5:25" ht="12.75">
      <c r="E464" s="229"/>
      <c r="F464" s="229"/>
      <c r="G464" s="172"/>
      <c r="I464" s="229"/>
      <c r="J464" s="229"/>
      <c r="K464" s="229"/>
      <c r="M464" s="229"/>
      <c r="N464" s="229"/>
      <c r="O464" s="229"/>
      <c r="Q464" s="229"/>
      <c r="R464" s="229"/>
      <c r="S464" s="229"/>
      <c r="T464" s="229"/>
      <c r="U464" s="172"/>
      <c r="V464" s="172"/>
      <c r="Y464" s="172"/>
    </row>
    <row r="465" spans="5:25" ht="12.75">
      <c r="E465" s="229"/>
      <c r="F465" s="229"/>
      <c r="G465" s="172"/>
      <c r="I465" s="229"/>
      <c r="J465" s="229"/>
      <c r="K465" s="229"/>
      <c r="M465" s="229"/>
      <c r="N465" s="229"/>
      <c r="O465" s="229"/>
      <c r="Q465" s="229"/>
      <c r="R465" s="229"/>
      <c r="S465" s="229"/>
      <c r="T465" s="229"/>
      <c r="U465" s="172"/>
      <c r="V465" s="172"/>
      <c r="Y465" s="172"/>
    </row>
    <row r="466" spans="5:25" ht="12.75">
      <c r="E466" s="229"/>
      <c r="F466" s="229"/>
      <c r="G466" s="172"/>
      <c r="I466" s="229"/>
      <c r="J466" s="229"/>
      <c r="K466" s="229"/>
      <c r="M466" s="229"/>
      <c r="N466" s="229"/>
      <c r="O466" s="229"/>
      <c r="Q466" s="229"/>
      <c r="R466" s="229"/>
      <c r="S466" s="229"/>
      <c r="T466" s="229"/>
      <c r="U466" s="172"/>
      <c r="V466" s="172"/>
      <c r="Y466" s="172"/>
    </row>
    <row r="467" spans="5:25" ht="12.75">
      <c r="E467" s="229"/>
      <c r="F467" s="229"/>
      <c r="G467" s="172"/>
      <c r="I467" s="229"/>
      <c r="J467" s="229"/>
      <c r="K467" s="229"/>
      <c r="M467" s="229"/>
      <c r="N467" s="229"/>
      <c r="O467" s="229"/>
      <c r="Q467" s="229"/>
      <c r="R467" s="229"/>
      <c r="S467" s="229"/>
      <c r="T467" s="229"/>
      <c r="U467" s="172"/>
      <c r="V467" s="172"/>
      <c r="Y467" s="172"/>
    </row>
    <row r="468" spans="5:25" ht="12.75">
      <c r="E468" s="229"/>
      <c r="F468" s="229"/>
      <c r="G468" s="172"/>
      <c r="I468" s="229"/>
      <c r="J468" s="229"/>
      <c r="K468" s="229"/>
      <c r="M468" s="229"/>
      <c r="N468" s="229"/>
      <c r="O468" s="229"/>
      <c r="Q468" s="229"/>
      <c r="R468" s="229"/>
      <c r="S468" s="229"/>
      <c r="T468" s="229"/>
      <c r="U468" s="172"/>
      <c r="V468" s="172"/>
      <c r="Y468" s="172"/>
    </row>
    <row r="469" spans="5:25" ht="12.75">
      <c r="E469" s="229"/>
      <c r="F469" s="229"/>
      <c r="G469" s="172"/>
      <c r="I469" s="229"/>
      <c r="J469" s="229"/>
      <c r="K469" s="229"/>
      <c r="M469" s="229"/>
      <c r="N469" s="229"/>
      <c r="O469" s="229"/>
      <c r="Q469" s="229"/>
      <c r="R469" s="229"/>
      <c r="S469" s="229"/>
      <c r="T469" s="229"/>
      <c r="U469" s="172"/>
      <c r="V469" s="172"/>
      <c r="Y469" s="172"/>
    </row>
    <row r="470" spans="5:25" ht="12.75">
      <c r="E470" s="229"/>
      <c r="F470" s="229"/>
      <c r="G470" s="172"/>
      <c r="I470" s="229"/>
      <c r="J470" s="229"/>
      <c r="K470" s="229"/>
      <c r="M470" s="229"/>
      <c r="N470" s="229"/>
      <c r="O470" s="229"/>
      <c r="Q470" s="229"/>
      <c r="R470" s="229"/>
      <c r="S470" s="229"/>
      <c r="T470" s="229"/>
      <c r="U470" s="172"/>
      <c r="V470" s="172"/>
      <c r="Y470" s="172"/>
    </row>
    <row r="471" spans="5:25" ht="12.75">
      <c r="E471" s="229"/>
      <c r="F471" s="229"/>
      <c r="G471" s="172"/>
      <c r="I471" s="229"/>
      <c r="J471" s="229"/>
      <c r="K471" s="229"/>
      <c r="M471" s="229"/>
      <c r="N471" s="229"/>
      <c r="O471" s="229"/>
      <c r="Q471" s="229"/>
      <c r="R471" s="229"/>
      <c r="S471" s="229"/>
      <c r="T471" s="229"/>
      <c r="U471" s="172"/>
      <c r="V471" s="172"/>
      <c r="Y471" s="172"/>
    </row>
    <row r="472" spans="5:25" ht="12.75">
      <c r="E472" s="229"/>
      <c r="F472" s="229"/>
      <c r="G472" s="172"/>
      <c r="I472" s="229"/>
      <c r="J472" s="229"/>
      <c r="K472" s="229"/>
      <c r="M472" s="229"/>
      <c r="N472" s="229"/>
      <c r="O472" s="229"/>
      <c r="Q472" s="229"/>
      <c r="R472" s="229"/>
      <c r="S472" s="229"/>
      <c r="T472" s="229"/>
      <c r="U472" s="172"/>
      <c r="V472" s="172"/>
      <c r="Y472" s="172"/>
    </row>
    <row r="473" spans="5:25" ht="12.75">
      <c r="E473" s="229"/>
      <c r="F473" s="229"/>
      <c r="G473" s="172"/>
      <c r="I473" s="229"/>
      <c r="J473" s="229"/>
      <c r="K473" s="229"/>
      <c r="M473" s="229"/>
      <c r="N473" s="229"/>
      <c r="O473" s="229"/>
      <c r="Q473" s="229"/>
      <c r="R473" s="229"/>
      <c r="S473" s="229"/>
      <c r="T473" s="229"/>
      <c r="U473" s="172"/>
      <c r="V473" s="172"/>
      <c r="Y473" s="172"/>
    </row>
    <row r="474" spans="5:25" ht="12.75">
      <c r="E474" s="229"/>
      <c r="F474" s="229"/>
      <c r="G474" s="172"/>
      <c r="I474" s="229"/>
      <c r="J474" s="229"/>
      <c r="K474" s="229"/>
      <c r="M474" s="229"/>
      <c r="N474" s="229"/>
      <c r="O474" s="229"/>
      <c r="Q474" s="229"/>
      <c r="R474" s="229"/>
      <c r="S474" s="229"/>
      <c r="T474" s="229"/>
      <c r="U474" s="172"/>
      <c r="V474" s="172"/>
      <c r="Y474" s="172"/>
    </row>
    <row r="475" spans="5:25" ht="12.75">
      <c r="E475" s="229"/>
      <c r="F475" s="229"/>
      <c r="G475" s="172"/>
      <c r="I475" s="229"/>
      <c r="J475" s="229"/>
      <c r="K475" s="229"/>
      <c r="M475" s="229"/>
      <c r="N475" s="229"/>
      <c r="O475" s="229"/>
      <c r="Q475" s="229"/>
      <c r="R475" s="229"/>
      <c r="S475" s="229"/>
      <c r="T475" s="229"/>
      <c r="U475" s="172"/>
      <c r="V475" s="172"/>
      <c r="Y475" s="172"/>
    </row>
    <row r="476" spans="5:25" ht="12.75">
      <c r="E476" s="229"/>
      <c r="F476" s="229"/>
      <c r="G476" s="172"/>
      <c r="I476" s="229"/>
      <c r="J476" s="229"/>
      <c r="K476" s="229"/>
      <c r="M476" s="229"/>
      <c r="N476" s="229"/>
      <c r="O476" s="229"/>
      <c r="Q476" s="229"/>
      <c r="R476" s="229"/>
      <c r="S476" s="229"/>
      <c r="T476" s="229"/>
      <c r="U476" s="172"/>
      <c r="V476" s="172"/>
      <c r="Y476" s="172"/>
    </row>
    <row r="477" spans="5:25" ht="12.75">
      <c r="E477" s="229"/>
      <c r="F477" s="229"/>
      <c r="G477" s="172"/>
      <c r="I477" s="229"/>
      <c r="J477" s="229"/>
      <c r="K477" s="229"/>
      <c r="M477" s="229"/>
      <c r="N477" s="229"/>
      <c r="O477" s="229"/>
      <c r="Q477" s="229"/>
      <c r="R477" s="229"/>
      <c r="S477" s="229"/>
      <c r="T477" s="229"/>
      <c r="U477" s="172"/>
      <c r="V477" s="172"/>
      <c r="Y477" s="172"/>
    </row>
    <row r="478" spans="5:25" ht="12.75">
      <c r="E478" s="229"/>
      <c r="F478" s="229"/>
      <c r="G478" s="172"/>
      <c r="I478" s="229"/>
      <c r="J478" s="229"/>
      <c r="K478" s="229"/>
      <c r="M478" s="229"/>
      <c r="N478" s="229"/>
      <c r="O478" s="229"/>
      <c r="Q478" s="229"/>
      <c r="R478" s="229"/>
      <c r="S478" s="229"/>
      <c r="T478" s="229"/>
      <c r="U478" s="172"/>
      <c r="V478" s="172"/>
      <c r="Y478" s="172"/>
    </row>
    <row r="479" spans="5:25" ht="12.75">
      <c r="E479" s="229"/>
      <c r="F479" s="229"/>
      <c r="G479" s="172"/>
      <c r="I479" s="229"/>
      <c r="J479" s="229"/>
      <c r="K479" s="229"/>
      <c r="M479" s="229"/>
      <c r="N479" s="229"/>
      <c r="O479" s="229"/>
      <c r="Q479" s="229"/>
      <c r="R479" s="229"/>
      <c r="S479" s="229"/>
      <c r="T479" s="229"/>
      <c r="U479" s="172"/>
      <c r="V479" s="172"/>
      <c r="Y479" s="172"/>
    </row>
    <row r="480" spans="5:25" ht="12.75">
      <c r="E480" s="229"/>
      <c r="F480" s="229"/>
      <c r="G480" s="172"/>
      <c r="I480" s="229"/>
      <c r="J480" s="229"/>
      <c r="K480" s="229"/>
      <c r="M480" s="229"/>
      <c r="N480" s="229"/>
      <c r="O480" s="229"/>
      <c r="Q480" s="229"/>
      <c r="R480" s="229"/>
      <c r="S480" s="229"/>
      <c r="T480" s="229"/>
      <c r="U480" s="172"/>
      <c r="V480" s="172"/>
      <c r="Y480" s="172"/>
    </row>
    <row r="481" spans="5:25" ht="12.75">
      <c r="E481" s="229"/>
      <c r="F481" s="229"/>
      <c r="G481" s="172"/>
      <c r="I481" s="229"/>
      <c r="J481" s="229"/>
      <c r="K481" s="229"/>
      <c r="M481" s="229"/>
      <c r="N481" s="229"/>
      <c r="O481" s="229"/>
      <c r="Q481" s="229"/>
      <c r="R481" s="229"/>
      <c r="S481" s="229"/>
      <c r="T481" s="229"/>
      <c r="U481" s="172"/>
      <c r="V481" s="172"/>
      <c r="Y481" s="172"/>
    </row>
    <row r="482" spans="5:25" ht="12.75">
      <c r="E482" s="229"/>
      <c r="F482" s="229"/>
      <c r="G482" s="172"/>
      <c r="I482" s="229"/>
      <c r="J482" s="229"/>
      <c r="K482" s="229"/>
      <c r="M482" s="229"/>
      <c r="N482" s="229"/>
      <c r="O482" s="229"/>
      <c r="Q482" s="229"/>
      <c r="R482" s="229"/>
      <c r="S482" s="229"/>
      <c r="T482" s="229"/>
      <c r="U482" s="172"/>
      <c r="V482" s="172"/>
      <c r="Y482" s="172"/>
    </row>
    <row r="483" spans="5:25" ht="12.75">
      <c r="E483" s="229"/>
      <c r="F483" s="229"/>
      <c r="G483" s="172"/>
      <c r="I483" s="229"/>
      <c r="J483" s="229"/>
      <c r="K483" s="229"/>
      <c r="M483" s="229"/>
      <c r="N483" s="229"/>
      <c r="O483" s="229"/>
      <c r="Q483" s="229"/>
      <c r="R483" s="229"/>
      <c r="S483" s="229"/>
      <c r="T483" s="229"/>
      <c r="U483" s="172"/>
      <c r="V483" s="172"/>
      <c r="Y483" s="172"/>
    </row>
    <row r="484" spans="5:25" ht="12.75">
      <c r="E484" s="229"/>
      <c r="F484" s="229"/>
      <c r="G484" s="172"/>
      <c r="I484" s="229"/>
      <c r="J484" s="229"/>
      <c r="K484" s="229"/>
      <c r="M484" s="229"/>
      <c r="N484" s="229"/>
      <c r="O484" s="229"/>
      <c r="Q484" s="229"/>
      <c r="R484" s="229"/>
      <c r="S484" s="229"/>
      <c r="T484" s="229"/>
      <c r="U484" s="172"/>
      <c r="V484" s="172"/>
      <c r="Y484" s="172"/>
    </row>
    <row r="485" spans="5:25" ht="12.75">
      <c r="E485" s="229"/>
      <c r="F485" s="229"/>
      <c r="G485" s="172"/>
      <c r="I485" s="229"/>
      <c r="J485" s="229"/>
      <c r="K485" s="229"/>
      <c r="M485" s="229"/>
      <c r="N485" s="229"/>
      <c r="O485" s="229"/>
      <c r="Q485" s="229"/>
      <c r="R485" s="229"/>
      <c r="S485" s="229"/>
      <c r="T485" s="229"/>
      <c r="U485" s="172"/>
      <c r="V485" s="172"/>
      <c r="Y485" s="172"/>
    </row>
    <row r="486" spans="5:25" ht="12.75">
      <c r="E486" s="229"/>
      <c r="F486" s="229"/>
      <c r="G486" s="172"/>
      <c r="I486" s="229"/>
      <c r="J486" s="229"/>
      <c r="K486" s="229"/>
      <c r="M486" s="229"/>
      <c r="N486" s="229"/>
      <c r="O486" s="229"/>
      <c r="Q486" s="229"/>
      <c r="R486" s="229"/>
      <c r="S486" s="229"/>
      <c r="T486" s="229"/>
      <c r="U486" s="172"/>
      <c r="V486" s="172"/>
      <c r="Y486" s="172"/>
    </row>
    <row r="487" spans="5:25" ht="12.75">
      <c r="E487" s="229"/>
      <c r="F487" s="229"/>
      <c r="G487" s="172"/>
      <c r="I487" s="229"/>
      <c r="J487" s="229"/>
      <c r="K487" s="229"/>
      <c r="M487" s="229"/>
      <c r="N487" s="229"/>
      <c r="O487" s="229"/>
      <c r="Q487" s="229"/>
      <c r="R487" s="229"/>
      <c r="S487" s="229"/>
      <c r="T487" s="229"/>
      <c r="U487" s="172"/>
      <c r="V487" s="172"/>
      <c r="Y487" s="172"/>
    </row>
    <row r="488" spans="5:25" ht="12.75">
      <c r="E488" s="229"/>
      <c r="F488" s="229"/>
      <c r="G488" s="172"/>
      <c r="I488" s="229"/>
      <c r="J488" s="229"/>
      <c r="K488" s="229"/>
      <c r="M488" s="229"/>
      <c r="N488" s="229"/>
      <c r="O488" s="229"/>
      <c r="Q488" s="229"/>
      <c r="R488" s="229"/>
      <c r="S488" s="229"/>
      <c r="T488" s="229"/>
      <c r="U488" s="172"/>
      <c r="V488" s="172"/>
      <c r="Y488" s="172"/>
    </row>
    <row r="489" spans="5:25" ht="12.75">
      <c r="E489" s="229"/>
      <c r="F489" s="229"/>
      <c r="G489" s="172"/>
      <c r="I489" s="229"/>
      <c r="J489" s="229"/>
      <c r="K489" s="229"/>
      <c r="M489" s="229"/>
      <c r="N489" s="229"/>
      <c r="O489" s="229"/>
      <c r="Q489" s="229"/>
      <c r="R489" s="229"/>
      <c r="S489" s="229"/>
      <c r="T489" s="229"/>
      <c r="U489" s="172"/>
      <c r="V489" s="172"/>
      <c r="Y489" s="172"/>
    </row>
    <row r="490" spans="5:25" ht="12.75">
      <c r="E490" s="229"/>
      <c r="F490" s="229"/>
      <c r="G490" s="172"/>
      <c r="I490" s="229"/>
      <c r="J490" s="229"/>
      <c r="K490" s="229"/>
      <c r="M490" s="229"/>
      <c r="N490" s="229"/>
      <c r="O490" s="229"/>
      <c r="Q490" s="229"/>
      <c r="R490" s="229"/>
      <c r="S490" s="229"/>
      <c r="T490" s="229"/>
      <c r="U490" s="172"/>
      <c r="V490" s="172"/>
      <c r="Y490" s="172"/>
    </row>
    <row r="491" spans="5:25" ht="12.75">
      <c r="E491" s="229"/>
      <c r="F491" s="229"/>
      <c r="G491" s="172"/>
      <c r="I491" s="229"/>
      <c r="J491" s="229"/>
      <c r="K491" s="229"/>
      <c r="M491" s="229"/>
      <c r="N491" s="229"/>
      <c r="O491" s="229"/>
      <c r="Q491" s="229"/>
      <c r="R491" s="229"/>
      <c r="S491" s="229"/>
      <c r="T491" s="229"/>
      <c r="U491" s="172"/>
      <c r="V491" s="172"/>
      <c r="Y491" s="172"/>
    </row>
    <row r="492" spans="5:25" ht="12.75">
      <c r="E492" s="229"/>
      <c r="F492" s="229"/>
      <c r="G492" s="172"/>
      <c r="I492" s="229"/>
      <c r="J492" s="229"/>
      <c r="K492" s="229"/>
      <c r="M492" s="229"/>
      <c r="N492" s="229"/>
      <c r="O492" s="229"/>
      <c r="Q492" s="229"/>
      <c r="R492" s="229"/>
      <c r="S492" s="229"/>
      <c r="T492" s="229"/>
      <c r="U492" s="172"/>
      <c r="V492" s="172"/>
      <c r="Y492" s="172"/>
    </row>
    <row r="493" spans="5:25" ht="12.75">
      <c r="E493" s="229"/>
      <c r="F493" s="229"/>
      <c r="G493" s="172"/>
      <c r="I493" s="229"/>
      <c r="J493" s="229"/>
      <c r="K493" s="229"/>
      <c r="M493" s="229"/>
      <c r="N493" s="229"/>
      <c r="O493" s="229"/>
      <c r="Q493" s="229"/>
      <c r="R493" s="229"/>
      <c r="S493" s="229"/>
      <c r="T493" s="229"/>
      <c r="U493" s="172"/>
      <c r="V493" s="172"/>
      <c r="Y493" s="172"/>
    </row>
    <row r="494" spans="5:25" ht="12.75">
      <c r="E494" s="229"/>
      <c r="F494" s="229"/>
      <c r="G494" s="172"/>
      <c r="I494" s="229"/>
      <c r="J494" s="229"/>
      <c r="K494" s="229"/>
      <c r="M494" s="229"/>
      <c r="N494" s="229"/>
      <c r="O494" s="229"/>
      <c r="Q494" s="229"/>
      <c r="R494" s="229"/>
      <c r="S494" s="229"/>
      <c r="T494" s="229"/>
      <c r="U494" s="172"/>
      <c r="V494" s="172"/>
      <c r="Y494" s="172"/>
    </row>
    <row r="495" spans="5:25" ht="12.75">
      <c r="E495" s="229"/>
      <c r="F495" s="229"/>
      <c r="G495" s="172"/>
      <c r="I495" s="229"/>
      <c r="J495" s="229"/>
      <c r="K495" s="229"/>
      <c r="M495" s="229"/>
      <c r="N495" s="229"/>
      <c r="O495" s="229"/>
      <c r="Q495" s="229"/>
      <c r="R495" s="229"/>
      <c r="S495" s="229"/>
      <c r="T495" s="229"/>
      <c r="U495" s="172"/>
      <c r="V495" s="172"/>
      <c r="Y495" s="172"/>
    </row>
    <row r="496" spans="5:25" ht="12.75">
      <c r="E496" s="229"/>
      <c r="F496" s="229"/>
      <c r="G496" s="172"/>
      <c r="I496" s="229"/>
      <c r="J496" s="229"/>
      <c r="K496" s="229"/>
      <c r="M496" s="229"/>
      <c r="N496" s="229"/>
      <c r="O496" s="229"/>
      <c r="Q496" s="229"/>
      <c r="R496" s="229"/>
      <c r="S496" s="229"/>
      <c r="T496" s="229"/>
      <c r="U496" s="172"/>
      <c r="V496" s="172"/>
      <c r="Y496" s="172"/>
    </row>
    <row r="497" spans="5:25" ht="12.75">
      <c r="E497" s="229"/>
      <c r="F497" s="229"/>
      <c r="G497" s="172"/>
      <c r="I497" s="229"/>
      <c r="J497" s="229"/>
      <c r="K497" s="229"/>
      <c r="M497" s="229"/>
      <c r="N497" s="229"/>
      <c r="O497" s="229"/>
      <c r="Q497" s="229"/>
      <c r="R497" s="229"/>
      <c r="S497" s="229"/>
      <c r="T497" s="229"/>
      <c r="U497" s="172"/>
      <c r="V497" s="172"/>
      <c r="Y497" s="172"/>
    </row>
    <row r="498" spans="5:25" ht="12.75">
      <c r="E498" s="229"/>
      <c r="F498" s="229"/>
      <c r="G498" s="172"/>
      <c r="I498" s="229"/>
      <c r="J498" s="229"/>
      <c r="K498" s="229"/>
      <c r="M498" s="229"/>
      <c r="N498" s="229"/>
      <c r="O498" s="229"/>
      <c r="Q498" s="229"/>
      <c r="R498" s="229"/>
      <c r="S498" s="229"/>
      <c r="T498" s="229"/>
      <c r="U498" s="172"/>
      <c r="V498" s="172"/>
      <c r="Y498" s="172"/>
    </row>
    <row r="499" spans="5:25" ht="12.75">
      <c r="E499" s="229"/>
      <c r="F499" s="229"/>
      <c r="G499" s="172"/>
      <c r="I499" s="229"/>
      <c r="J499" s="229"/>
      <c r="K499" s="229"/>
      <c r="M499" s="229"/>
      <c r="N499" s="229"/>
      <c r="O499" s="229"/>
      <c r="Q499" s="229"/>
      <c r="R499" s="229"/>
      <c r="S499" s="229"/>
      <c r="T499" s="229"/>
      <c r="U499" s="172"/>
      <c r="V499" s="172"/>
      <c r="Y499" s="172"/>
    </row>
    <row r="500" spans="5:25" ht="12.75">
      <c r="E500" s="229"/>
      <c r="F500" s="229"/>
      <c r="G500" s="172"/>
      <c r="I500" s="229"/>
      <c r="J500" s="229"/>
      <c r="K500" s="229"/>
      <c r="M500" s="229"/>
      <c r="N500" s="229"/>
      <c r="O500" s="229"/>
      <c r="Q500" s="229"/>
      <c r="R500" s="229"/>
      <c r="S500" s="229"/>
      <c r="T500" s="229"/>
      <c r="U500" s="172"/>
      <c r="V500" s="172"/>
      <c r="Y500" s="172"/>
    </row>
    <row r="501" spans="5:25" ht="12.75">
      <c r="E501" s="229"/>
      <c r="F501" s="229"/>
      <c r="G501" s="172"/>
      <c r="I501" s="229"/>
      <c r="J501" s="229"/>
      <c r="K501" s="229"/>
      <c r="M501" s="229"/>
      <c r="N501" s="229"/>
      <c r="O501" s="229"/>
      <c r="Q501" s="229"/>
      <c r="R501" s="229"/>
      <c r="S501" s="229"/>
      <c r="T501" s="229"/>
      <c r="U501" s="172"/>
      <c r="V501" s="172"/>
      <c r="Y501" s="172"/>
    </row>
    <row r="502" spans="5:25" ht="12.75">
      <c r="E502" s="229"/>
      <c r="F502" s="229"/>
      <c r="G502" s="172"/>
      <c r="I502" s="229"/>
      <c r="J502" s="229"/>
      <c r="K502" s="229"/>
      <c r="M502" s="229"/>
      <c r="N502" s="229"/>
      <c r="O502" s="229"/>
      <c r="Q502" s="229"/>
      <c r="R502" s="229"/>
      <c r="S502" s="229"/>
      <c r="T502" s="229"/>
      <c r="U502" s="172"/>
      <c r="V502" s="172"/>
      <c r="Y502" s="172"/>
    </row>
    <row r="503" spans="5:25" ht="12.75">
      <c r="E503" s="229"/>
      <c r="F503" s="229"/>
      <c r="G503" s="172"/>
      <c r="I503" s="229"/>
      <c r="J503" s="229"/>
      <c r="K503" s="229"/>
      <c r="M503" s="229"/>
      <c r="N503" s="229"/>
      <c r="O503" s="229"/>
      <c r="Q503" s="229"/>
      <c r="R503" s="229"/>
      <c r="S503" s="229"/>
      <c r="T503" s="229"/>
      <c r="U503" s="172"/>
      <c r="V503" s="172"/>
      <c r="Y503" s="172"/>
    </row>
    <row r="504" spans="5:25" ht="12.75">
      <c r="E504" s="229"/>
      <c r="F504" s="229"/>
      <c r="G504" s="172"/>
      <c r="I504" s="229"/>
      <c r="J504" s="229"/>
      <c r="K504" s="229"/>
      <c r="M504" s="229"/>
      <c r="N504" s="229"/>
      <c r="O504" s="229"/>
      <c r="Q504" s="229"/>
      <c r="R504" s="229"/>
      <c r="S504" s="229"/>
      <c r="T504" s="229"/>
      <c r="U504" s="172"/>
      <c r="V504" s="172"/>
      <c r="Y504" s="172"/>
    </row>
    <row r="505" spans="5:25" ht="12.75">
      <c r="E505" s="229"/>
      <c r="F505" s="229"/>
      <c r="G505" s="172"/>
      <c r="I505" s="229"/>
      <c r="J505" s="229"/>
      <c r="K505" s="229"/>
      <c r="M505" s="229"/>
      <c r="N505" s="229"/>
      <c r="O505" s="229"/>
      <c r="Q505" s="229"/>
      <c r="R505" s="229"/>
      <c r="S505" s="229"/>
      <c r="T505" s="229"/>
      <c r="U505" s="172"/>
      <c r="V505" s="172"/>
      <c r="Y505" s="172"/>
    </row>
    <row r="506" spans="5:25" ht="12.75">
      <c r="E506" s="229"/>
      <c r="F506" s="229"/>
      <c r="G506" s="172"/>
      <c r="I506" s="229"/>
      <c r="J506" s="229"/>
      <c r="K506" s="229"/>
      <c r="M506" s="229"/>
      <c r="N506" s="229"/>
      <c r="O506" s="229"/>
      <c r="Q506" s="229"/>
      <c r="R506" s="229"/>
      <c r="S506" s="229"/>
      <c r="T506" s="229"/>
      <c r="U506" s="172"/>
      <c r="V506" s="172"/>
      <c r="Y506" s="172"/>
    </row>
    <row r="507" spans="5:25" ht="12.75">
      <c r="E507" s="229"/>
      <c r="F507" s="229"/>
      <c r="G507" s="172"/>
      <c r="I507" s="229"/>
      <c r="J507" s="229"/>
      <c r="K507" s="229"/>
      <c r="M507" s="229"/>
      <c r="N507" s="229"/>
      <c r="O507" s="229"/>
      <c r="Q507" s="229"/>
      <c r="R507" s="229"/>
      <c r="S507" s="229"/>
      <c r="T507" s="229"/>
      <c r="U507" s="172"/>
      <c r="V507" s="172"/>
      <c r="Y507" s="172"/>
    </row>
    <row r="508" spans="5:25" ht="12.75">
      <c r="E508" s="229"/>
      <c r="F508" s="229"/>
      <c r="G508" s="172"/>
      <c r="I508" s="229"/>
      <c r="J508" s="229"/>
      <c r="K508" s="229"/>
      <c r="M508" s="229"/>
      <c r="N508" s="229"/>
      <c r="O508" s="229"/>
      <c r="Q508" s="229"/>
      <c r="R508" s="229"/>
      <c r="S508" s="229"/>
      <c r="T508" s="229"/>
      <c r="U508" s="172"/>
      <c r="V508" s="172"/>
      <c r="Y508" s="172"/>
    </row>
    <row r="509" spans="5:25" ht="12.75">
      <c r="E509" s="229"/>
      <c r="F509" s="229"/>
      <c r="G509" s="172"/>
      <c r="I509" s="229"/>
      <c r="J509" s="229"/>
      <c r="K509" s="229"/>
      <c r="M509" s="229"/>
      <c r="N509" s="229"/>
      <c r="O509" s="229"/>
      <c r="Q509" s="229"/>
      <c r="R509" s="229"/>
      <c r="S509" s="229"/>
      <c r="T509" s="229"/>
      <c r="U509" s="172"/>
      <c r="V509" s="172"/>
      <c r="Y509" s="172"/>
    </row>
    <row r="510" spans="5:25" ht="12.75">
      <c r="E510" s="229"/>
      <c r="F510" s="229"/>
      <c r="G510" s="172"/>
      <c r="I510" s="229"/>
      <c r="J510" s="229"/>
      <c r="K510" s="229"/>
      <c r="M510" s="229"/>
      <c r="N510" s="229"/>
      <c r="O510" s="229"/>
      <c r="Q510" s="229"/>
      <c r="R510" s="229"/>
      <c r="S510" s="229"/>
      <c r="T510" s="229"/>
      <c r="U510" s="172"/>
      <c r="V510" s="172"/>
      <c r="Y510" s="172"/>
    </row>
    <row r="511" spans="5:25" ht="12.75">
      <c r="E511" s="229"/>
      <c r="F511" s="229"/>
      <c r="G511" s="172"/>
      <c r="I511" s="229"/>
      <c r="J511" s="229"/>
      <c r="K511" s="229"/>
      <c r="M511" s="229"/>
      <c r="N511" s="229"/>
      <c r="O511" s="229"/>
      <c r="Q511" s="229"/>
      <c r="R511" s="229"/>
      <c r="S511" s="229"/>
      <c r="T511" s="229"/>
      <c r="U511" s="172"/>
      <c r="V511" s="172"/>
      <c r="Y511" s="172"/>
    </row>
    <row r="512" spans="5:25" ht="12.75">
      <c r="E512" s="229"/>
      <c r="F512" s="229"/>
      <c r="G512" s="172"/>
      <c r="I512" s="229"/>
      <c r="J512" s="229"/>
      <c r="K512" s="229"/>
      <c r="M512" s="229"/>
      <c r="N512" s="229"/>
      <c r="O512" s="229"/>
      <c r="Q512" s="229"/>
      <c r="R512" s="229"/>
      <c r="S512" s="229"/>
      <c r="T512" s="229"/>
      <c r="U512" s="172"/>
      <c r="V512" s="172"/>
      <c r="Y512" s="172"/>
    </row>
    <row r="513" spans="5:25" ht="12.75">
      <c r="E513" s="229"/>
      <c r="F513" s="229"/>
      <c r="G513" s="172"/>
      <c r="I513" s="229"/>
      <c r="J513" s="229"/>
      <c r="K513" s="229"/>
      <c r="M513" s="229"/>
      <c r="N513" s="229"/>
      <c r="O513" s="229"/>
      <c r="Q513" s="229"/>
      <c r="R513" s="229"/>
      <c r="S513" s="229"/>
      <c r="T513" s="229"/>
      <c r="U513" s="172"/>
      <c r="V513" s="172"/>
      <c r="Y513" s="172"/>
    </row>
    <row r="514" spans="5:25" ht="12.75">
      <c r="E514" s="229"/>
      <c r="F514" s="229"/>
      <c r="G514" s="172"/>
      <c r="I514" s="229"/>
      <c r="J514" s="229"/>
      <c r="K514" s="229"/>
      <c r="M514" s="229"/>
      <c r="N514" s="229"/>
      <c r="O514" s="229"/>
      <c r="Q514" s="229"/>
      <c r="R514" s="229"/>
      <c r="S514" s="229"/>
      <c r="T514" s="229"/>
      <c r="U514" s="172"/>
      <c r="V514" s="172"/>
      <c r="Y514" s="172"/>
    </row>
    <row r="515" spans="5:25" ht="12.75">
      <c r="E515" s="229"/>
      <c r="F515" s="229"/>
      <c r="G515" s="172"/>
      <c r="I515" s="229"/>
      <c r="J515" s="229"/>
      <c r="K515" s="229"/>
      <c r="M515" s="229"/>
      <c r="N515" s="229"/>
      <c r="O515" s="229"/>
      <c r="Q515" s="229"/>
      <c r="R515" s="229"/>
      <c r="S515" s="229"/>
      <c r="T515" s="229"/>
      <c r="U515" s="172"/>
      <c r="V515" s="172"/>
      <c r="Y515" s="172"/>
    </row>
    <row r="516" spans="5:25" ht="12.75">
      <c r="E516" s="229"/>
      <c r="F516" s="229"/>
      <c r="G516" s="172"/>
      <c r="I516" s="229"/>
      <c r="J516" s="229"/>
      <c r="K516" s="229"/>
      <c r="M516" s="229"/>
      <c r="N516" s="229"/>
      <c r="O516" s="229"/>
      <c r="Q516" s="229"/>
      <c r="R516" s="229"/>
      <c r="S516" s="229"/>
      <c r="T516" s="229"/>
      <c r="U516" s="172"/>
      <c r="V516" s="172"/>
      <c r="Y516" s="172"/>
    </row>
    <row r="517" spans="5:25" ht="12.75">
      <c r="E517" s="229"/>
      <c r="F517" s="229"/>
      <c r="G517" s="172"/>
      <c r="I517" s="229"/>
      <c r="J517" s="229"/>
      <c r="K517" s="229"/>
      <c r="M517" s="229"/>
      <c r="N517" s="229"/>
      <c r="O517" s="229"/>
      <c r="Q517" s="229"/>
      <c r="R517" s="229"/>
      <c r="S517" s="229"/>
      <c r="T517" s="229"/>
      <c r="U517" s="172"/>
      <c r="V517" s="172"/>
      <c r="Y517" s="172"/>
    </row>
    <row r="518" spans="5:25" ht="12.75">
      <c r="E518" s="229"/>
      <c r="F518" s="229"/>
      <c r="G518" s="172"/>
      <c r="I518" s="229"/>
      <c r="J518" s="229"/>
      <c r="K518" s="229"/>
      <c r="M518" s="229"/>
      <c r="N518" s="229"/>
      <c r="O518" s="229"/>
      <c r="Q518" s="229"/>
      <c r="R518" s="229"/>
      <c r="S518" s="229"/>
      <c r="T518" s="229"/>
      <c r="U518" s="172"/>
      <c r="V518" s="172"/>
      <c r="Y518" s="172"/>
    </row>
    <row r="519" spans="5:25" ht="12.75">
      <c r="E519" s="229"/>
      <c r="F519" s="229"/>
      <c r="G519" s="172"/>
      <c r="I519" s="229"/>
      <c r="J519" s="229"/>
      <c r="K519" s="229"/>
      <c r="M519" s="229"/>
      <c r="N519" s="229"/>
      <c r="O519" s="229"/>
      <c r="Q519" s="229"/>
      <c r="R519" s="229"/>
      <c r="S519" s="229"/>
      <c r="T519" s="229"/>
      <c r="U519" s="172"/>
      <c r="V519" s="172"/>
      <c r="Y519" s="172"/>
    </row>
    <row r="520" spans="5:25" ht="12.75">
      <c r="E520" s="229"/>
      <c r="F520" s="229"/>
      <c r="G520" s="172"/>
      <c r="I520" s="229"/>
      <c r="J520" s="229"/>
      <c r="K520" s="229"/>
      <c r="M520" s="229"/>
      <c r="N520" s="229"/>
      <c r="O520" s="229"/>
      <c r="Q520" s="229"/>
      <c r="R520" s="229"/>
      <c r="S520" s="229"/>
      <c r="T520" s="229"/>
      <c r="U520" s="172"/>
      <c r="V520" s="172"/>
      <c r="Y520" s="172"/>
    </row>
    <row r="521" spans="5:25" ht="12.75">
      <c r="E521" s="229"/>
      <c r="F521" s="229"/>
      <c r="G521" s="172"/>
      <c r="I521" s="229"/>
      <c r="J521" s="229"/>
      <c r="K521" s="229"/>
      <c r="M521" s="229"/>
      <c r="N521" s="229"/>
      <c r="O521" s="229"/>
      <c r="Q521" s="229"/>
      <c r="R521" s="229"/>
      <c r="S521" s="229"/>
      <c r="T521" s="229"/>
      <c r="U521" s="172"/>
      <c r="V521" s="172"/>
      <c r="Y521" s="172"/>
    </row>
    <row r="522" spans="5:25" ht="12.75">
      <c r="E522" s="229"/>
      <c r="F522" s="229"/>
      <c r="G522" s="172"/>
      <c r="I522" s="229"/>
      <c r="J522" s="229"/>
      <c r="K522" s="229"/>
      <c r="M522" s="229"/>
      <c r="N522" s="229"/>
      <c r="O522" s="229"/>
      <c r="Q522" s="229"/>
      <c r="R522" s="229"/>
      <c r="S522" s="229"/>
      <c r="T522" s="229"/>
      <c r="U522" s="172"/>
      <c r="V522" s="172"/>
      <c r="Y522" s="172"/>
    </row>
    <row r="523" spans="7:25" ht="12.75">
      <c r="G523" s="172"/>
      <c r="U523" s="172"/>
      <c r="V523" s="172"/>
      <c r="Y523" s="172"/>
    </row>
    <row r="524" spans="7:25" ht="12.75">
      <c r="G524" s="172"/>
      <c r="U524" s="172"/>
      <c r="V524" s="172"/>
      <c r="Y524" s="172"/>
    </row>
    <row r="525" spans="7:25" ht="12.75">
      <c r="G525" s="172"/>
      <c r="U525" s="172"/>
      <c r="V525" s="172"/>
      <c r="Y525" s="172"/>
    </row>
    <row r="526" spans="7:25" ht="12.75">
      <c r="G526" s="172"/>
      <c r="U526" s="172"/>
      <c r="V526" s="172"/>
      <c r="Y526" s="172"/>
    </row>
    <row r="527" spans="7:25" ht="12.75">
      <c r="G527" s="172"/>
      <c r="U527" s="172"/>
      <c r="V527" s="172"/>
      <c r="Y527" s="172"/>
    </row>
    <row r="528" spans="7:25" ht="12.75">
      <c r="G528" s="172"/>
      <c r="U528" s="172"/>
      <c r="V528" s="172"/>
      <c r="Y528" s="172"/>
    </row>
    <row r="529" spans="7:25" ht="12.75">
      <c r="G529" s="172"/>
      <c r="U529" s="172"/>
      <c r="V529" s="172"/>
      <c r="Y529" s="172"/>
    </row>
    <row r="530" spans="7:25" ht="12.75">
      <c r="G530" s="172"/>
      <c r="U530" s="172"/>
      <c r="V530" s="172"/>
      <c r="Y530" s="172"/>
    </row>
    <row r="531" spans="7:25" ht="12.75">
      <c r="G531" s="172"/>
      <c r="U531" s="172"/>
      <c r="V531" s="172"/>
      <c r="Y531" s="172"/>
    </row>
    <row r="532" spans="7:25" ht="12.75">
      <c r="G532" s="172"/>
      <c r="U532" s="172"/>
      <c r="V532" s="172"/>
      <c r="Y532" s="172"/>
    </row>
    <row r="533" spans="7:25" ht="12.75">
      <c r="G533" s="172"/>
      <c r="U533" s="172"/>
      <c r="V533" s="172"/>
      <c r="Y533" s="172"/>
    </row>
    <row r="534" spans="7:25" ht="12.75">
      <c r="G534" s="172"/>
      <c r="U534" s="172"/>
      <c r="V534" s="172"/>
      <c r="Y534" s="172"/>
    </row>
    <row r="535" spans="7:25" ht="12.75">
      <c r="G535" s="172"/>
      <c r="U535" s="172"/>
      <c r="V535" s="172"/>
      <c r="Y535" s="172"/>
    </row>
    <row r="536" spans="7:25" ht="12.75">
      <c r="G536" s="172"/>
      <c r="U536" s="172"/>
      <c r="V536" s="172"/>
      <c r="Y536" s="172"/>
    </row>
    <row r="537" spans="7:25" ht="12.75">
      <c r="G537" s="172"/>
      <c r="U537" s="172"/>
      <c r="V537" s="172"/>
      <c r="Y537" s="172"/>
    </row>
    <row r="538" spans="7:25" ht="12.75">
      <c r="G538" s="172"/>
      <c r="U538" s="172"/>
      <c r="V538" s="172"/>
      <c r="Y538" s="172"/>
    </row>
    <row r="539" spans="7:25" ht="12.75">
      <c r="G539" s="172"/>
      <c r="U539" s="172"/>
      <c r="V539" s="172"/>
      <c r="Y539" s="172"/>
    </row>
    <row r="540" spans="7:25" ht="12.75">
      <c r="G540" s="172"/>
      <c r="U540" s="172"/>
      <c r="V540" s="172"/>
      <c r="Y540" s="172"/>
    </row>
    <row r="541" spans="7:25" ht="12.75">
      <c r="G541" s="172"/>
      <c r="U541" s="172"/>
      <c r="V541" s="172"/>
      <c r="Y541" s="172"/>
    </row>
    <row r="542" spans="7:25" ht="12.75">
      <c r="G542" s="172"/>
      <c r="U542" s="172"/>
      <c r="V542" s="172"/>
      <c r="Y542" s="172"/>
    </row>
    <row r="543" spans="7:25" ht="12.75">
      <c r="G543" s="172"/>
      <c r="U543" s="172"/>
      <c r="V543" s="172"/>
      <c r="Y543" s="172"/>
    </row>
    <row r="544" spans="7:25" ht="12.75">
      <c r="G544" s="172"/>
      <c r="U544" s="172"/>
      <c r="V544" s="172"/>
      <c r="Y544" s="172"/>
    </row>
    <row r="545" spans="7:25" ht="12.75">
      <c r="G545" s="172"/>
      <c r="U545" s="172"/>
      <c r="V545" s="172"/>
      <c r="Y545" s="172"/>
    </row>
    <row r="546" spans="7:25" ht="12.75">
      <c r="G546" s="172"/>
      <c r="U546" s="172"/>
      <c r="V546" s="172"/>
      <c r="Y546" s="172"/>
    </row>
    <row r="547" spans="7:25" ht="12.75">
      <c r="G547" s="172"/>
      <c r="U547" s="172"/>
      <c r="V547" s="172"/>
      <c r="Y547" s="172"/>
    </row>
    <row r="548" spans="7:25" ht="12.75">
      <c r="G548" s="172"/>
      <c r="U548" s="172"/>
      <c r="V548" s="172"/>
      <c r="Y548" s="172"/>
    </row>
    <row r="549" spans="7:25" ht="12.75">
      <c r="G549" s="172"/>
      <c r="U549" s="172"/>
      <c r="V549" s="172"/>
      <c r="Y549" s="172"/>
    </row>
    <row r="550" spans="7:25" ht="12.75">
      <c r="G550" s="172"/>
      <c r="U550" s="172"/>
      <c r="V550" s="172"/>
      <c r="Y550" s="172"/>
    </row>
    <row r="551" spans="7:25" ht="12.75">
      <c r="G551" s="172"/>
      <c r="U551" s="172"/>
      <c r="V551" s="172"/>
      <c r="Y551" s="172"/>
    </row>
    <row r="552" spans="7:25" ht="12.75">
      <c r="G552" s="172"/>
      <c r="U552" s="172"/>
      <c r="V552" s="172"/>
      <c r="Y552" s="172"/>
    </row>
    <row r="553" spans="7:25" ht="12.75">
      <c r="G553" s="172"/>
      <c r="U553" s="172"/>
      <c r="V553" s="172"/>
      <c r="Y553" s="172"/>
    </row>
    <row r="554" spans="7:25" ht="12.75">
      <c r="G554" s="172"/>
      <c r="U554" s="172"/>
      <c r="V554" s="172"/>
      <c r="Y554" s="172"/>
    </row>
    <row r="555" spans="7:25" ht="12.75">
      <c r="G555" s="172"/>
      <c r="U555" s="172"/>
      <c r="V555" s="172"/>
      <c r="Y555" s="172"/>
    </row>
    <row r="556" spans="7:25" ht="12.75">
      <c r="G556" s="172"/>
      <c r="U556" s="172"/>
      <c r="V556" s="172"/>
      <c r="Y556" s="172"/>
    </row>
    <row r="557" spans="7:25" ht="12.75">
      <c r="G557" s="172"/>
      <c r="U557" s="172"/>
      <c r="V557" s="172"/>
      <c r="Y557" s="172"/>
    </row>
    <row r="558" spans="7:25" ht="12.75">
      <c r="G558" s="172"/>
      <c r="U558" s="172"/>
      <c r="V558" s="172"/>
      <c r="Y558" s="172"/>
    </row>
    <row r="559" spans="7:25" ht="12.75">
      <c r="G559" s="172"/>
      <c r="U559" s="172"/>
      <c r="V559" s="172"/>
      <c r="Y559" s="172"/>
    </row>
    <row r="560" spans="7:25" ht="12.75">
      <c r="G560" s="172"/>
      <c r="U560" s="172"/>
      <c r="V560" s="172"/>
      <c r="Y560" s="172"/>
    </row>
    <row r="561" spans="7:25" ht="12.75">
      <c r="G561" s="172"/>
      <c r="U561" s="172"/>
      <c r="V561" s="172"/>
      <c r="Y561" s="172"/>
    </row>
    <row r="562" spans="7:25" ht="12.75">
      <c r="G562" s="172"/>
      <c r="U562" s="172"/>
      <c r="V562" s="172"/>
      <c r="Y562" s="172"/>
    </row>
    <row r="563" spans="7:25" ht="12.75">
      <c r="G563" s="172"/>
      <c r="U563" s="172"/>
      <c r="V563" s="172"/>
      <c r="Y563" s="172"/>
    </row>
    <row r="564" spans="7:25" ht="12.75">
      <c r="G564" s="172"/>
      <c r="U564" s="172"/>
      <c r="V564" s="172"/>
      <c r="Y564" s="172"/>
    </row>
    <row r="565" spans="7:25" ht="12.75">
      <c r="G565" s="172"/>
      <c r="U565" s="172"/>
      <c r="V565" s="172"/>
      <c r="Y565" s="172"/>
    </row>
    <row r="566" spans="7:25" ht="12.75">
      <c r="G566" s="172"/>
      <c r="U566" s="172"/>
      <c r="V566" s="172"/>
      <c r="Y566" s="172"/>
    </row>
    <row r="567" spans="7:25" ht="12.75">
      <c r="G567" s="172"/>
      <c r="U567" s="172"/>
      <c r="V567" s="172"/>
      <c r="Y567" s="172"/>
    </row>
    <row r="568" spans="7:25" ht="12.75">
      <c r="G568" s="172"/>
      <c r="U568" s="172"/>
      <c r="V568" s="172"/>
      <c r="Y568" s="172"/>
    </row>
    <row r="569" spans="7:25" ht="12.75">
      <c r="G569" s="172"/>
      <c r="U569" s="172"/>
      <c r="V569" s="172"/>
      <c r="Y569" s="172"/>
    </row>
    <row r="570" spans="7:25" ht="12.75">
      <c r="G570" s="172"/>
      <c r="U570" s="172"/>
      <c r="V570" s="172"/>
      <c r="Y570" s="172"/>
    </row>
    <row r="571" spans="7:25" ht="12.75">
      <c r="G571" s="172"/>
      <c r="U571" s="172"/>
      <c r="V571" s="172"/>
      <c r="Y571" s="172"/>
    </row>
    <row r="572" spans="7:25" ht="12.75">
      <c r="G572" s="172"/>
      <c r="U572" s="172"/>
      <c r="V572" s="172"/>
      <c r="Y572" s="172"/>
    </row>
    <row r="573" spans="7:25" ht="12.75">
      <c r="G573" s="172"/>
      <c r="U573" s="172"/>
      <c r="V573" s="172"/>
      <c r="Y573" s="172"/>
    </row>
    <row r="574" spans="7:25" ht="12.75">
      <c r="G574" s="172"/>
      <c r="U574" s="172"/>
      <c r="V574" s="172"/>
      <c r="Y574" s="172"/>
    </row>
    <row r="575" spans="7:25" ht="12.75">
      <c r="G575" s="172"/>
      <c r="U575" s="172"/>
      <c r="V575" s="172"/>
      <c r="Y575" s="172"/>
    </row>
    <row r="576" spans="7:25" ht="12.75">
      <c r="G576" s="172"/>
      <c r="U576" s="172"/>
      <c r="V576" s="172"/>
      <c r="Y576" s="172"/>
    </row>
    <row r="577" spans="7:25" ht="12.75">
      <c r="G577" s="172"/>
      <c r="U577" s="172"/>
      <c r="V577" s="172"/>
      <c r="Y577" s="172"/>
    </row>
    <row r="578" spans="7:25" ht="12.75">
      <c r="G578" s="172"/>
      <c r="U578" s="172"/>
      <c r="V578" s="172"/>
      <c r="Y578" s="172"/>
    </row>
    <row r="579" spans="7:25" ht="12.75">
      <c r="G579" s="172"/>
      <c r="U579" s="172"/>
      <c r="V579" s="172"/>
      <c r="Y579" s="172"/>
    </row>
    <row r="580" spans="7:25" ht="12.75">
      <c r="G580" s="172"/>
      <c r="U580" s="172"/>
      <c r="V580" s="172"/>
      <c r="Y580" s="172"/>
    </row>
    <row r="581" spans="7:25" ht="12.75">
      <c r="G581" s="172"/>
      <c r="U581" s="172"/>
      <c r="V581" s="172"/>
      <c r="Y581" s="172"/>
    </row>
    <row r="582" spans="7:25" ht="12.75">
      <c r="G582" s="172"/>
      <c r="U582" s="172"/>
      <c r="V582" s="172"/>
      <c r="Y582" s="172"/>
    </row>
    <row r="583" spans="7:25" ht="12.75">
      <c r="G583" s="172"/>
      <c r="U583" s="172"/>
      <c r="V583" s="172"/>
      <c r="Y583" s="172"/>
    </row>
    <row r="584" spans="7:25" ht="12.75">
      <c r="G584" s="172"/>
      <c r="U584" s="172"/>
      <c r="V584" s="172"/>
      <c r="Y584" s="172"/>
    </row>
    <row r="585" spans="7:25" ht="12.75">
      <c r="G585" s="172"/>
      <c r="U585" s="172"/>
      <c r="V585" s="172"/>
      <c r="Y585" s="172"/>
    </row>
    <row r="586" spans="7:25" ht="12.75">
      <c r="G586" s="172"/>
      <c r="U586" s="172"/>
      <c r="V586" s="172"/>
      <c r="Y586" s="172"/>
    </row>
    <row r="587" spans="7:25" ht="12.75">
      <c r="G587" s="172"/>
      <c r="U587" s="172"/>
      <c r="V587" s="172"/>
      <c r="Y587" s="172"/>
    </row>
    <row r="588" spans="7:25" ht="12.75">
      <c r="G588" s="172"/>
      <c r="U588" s="172"/>
      <c r="V588" s="172"/>
      <c r="Y588" s="172"/>
    </row>
    <row r="589" spans="7:25" ht="12.75">
      <c r="G589" s="172"/>
      <c r="U589" s="172"/>
      <c r="V589" s="172"/>
      <c r="Y589" s="172"/>
    </row>
    <row r="590" spans="7:25" ht="12.75">
      <c r="G590" s="172"/>
      <c r="U590" s="172"/>
      <c r="V590" s="172"/>
      <c r="Y590" s="172"/>
    </row>
    <row r="591" spans="7:25" ht="12.75">
      <c r="G591" s="172"/>
      <c r="U591" s="172"/>
      <c r="V591" s="172"/>
      <c r="Y591" s="172"/>
    </row>
    <row r="592" spans="7:25" ht="12.75">
      <c r="G592" s="172"/>
      <c r="U592" s="172"/>
      <c r="V592" s="172"/>
      <c r="Y592" s="172"/>
    </row>
    <row r="593" spans="7:25" ht="12.75">
      <c r="G593" s="172"/>
      <c r="U593" s="172"/>
      <c r="V593" s="172"/>
      <c r="Y593" s="172"/>
    </row>
    <row r="594" spans="7:25" ht="12.75">
      <c r="G594" s="172"/>
      <c r="U594" s="172"/>
      <c r="V594" s="172"/>
      <c r="Y594" s="172"/>
    </row>
    <row r="595" spans="7:25" ht="12.75">
      <c r="G595" s="172"/>
      <c r="U595" s="172"/>
      <c r="V595" s="172"/>
      <c r="Y595" s="172"/>
    </row>
    <row r="596" spans="7:25" ht="12.75">
      <c r="G596" s="172"/>
      <c r="U596" s="172"/>
      <c r="V596" s="172"/>
      <c r="Y596" s="172"/>
    </row>
    <row r="597" spans="7:25" ht="12.75">
      <c r="G597" s="172"/>
      <c r="U597" s="172"/>
      <c r="V597" s="172"/>
      <c r="Y597" s="172"/>
    </row>
    <row r="598" spans="7:25" ht="12.75">
      <c r="G598" s="172"/>
      <c r="U598" s="172"/>
      <c r="V598" s="172"/>
      <c r="Y598" s="172"/>
    </row>
    <row r="599" spans="7:25" ht="12.75">
      <c r="G599" s="172"/>
      <c r="U599" s="172"/>
      <c r="V599" s="172"/>
      <c r="Y599" s="172"/>
    </row>
    <row r="600" spans="7:25" ht="12.75">
      <c r="G600" s="172"/>
      <c r="U600" s="172"/>
      <c r="V600" s="172"/>
      <c r="Y600" s="172"/>
    </row>
    <row r="601" spans="7:25" ht="12.75">
      <c r="G601" s="172"/>
      <c r="U601" s="172"/>
      <c r="V601" s="172"/>
      <c r="Y601" s="172"/>
    </row>
    <row r="602" spans="7:25" ht="12.75">
      <c r="G602" s="172"/>
      <c r="U602" s="172"/>
      <c r="V602" s="172"/>
      <c r="Y602" s="172"/>
    </row>
    <row r="603" spans="7:25" ht="12.75">
      <c r="G603" s="172"/>
      <c r="U603" s="172"/>
      <c r="V603" s="172"/>
      <c r="Y603" s="172"/>
    </row>
    <row r="604" spans="7:25" ht="12.75">
      <c r="G604" s="172"/>
      <c r="U604" s="172"/>
      <c r="V604" s="172"/>
      <c r="Y604" s="172"/>
    </row>
    <row r="605" spans="7:25" ht="12.75">
      <c r="G605" s="172"/>
      <c r="U605" s="172"/>
      <c r="V605" s="172"/>
      <c r="Y605" s="172"/>
    </row>
    <row r="606" spans="7:25" ht="12.75">
      <c r="G606" s="172"/>
      <c r="U606" s="172"/>
      <c r="V606" s="172"/>
      <c r="Y606" s="172"/>
    </row>
    <row r="607" spans="7:25" ht="12.75">
      <c r="G607" s="172"/>
      <c r="U607" s="172"/>
      <c r="V607" s="172"/>
      <c r="Y607" s="172"/>
    </row>
    <row r="608" spans="7:25" ht="12.75">
      <c r="G608" s="172"/>
      <c r="U608" s="172"/>
      <c r="V608" s="172"/>
      <c r="Y608" s="172"/>
    </row>
    <row r="609" spans="7:25" ht="12.75">
      <c r="G609" s="172"/>
      <c r="U609" s="172"/>
      <c r="V609" s="172"/>
      <c r="Y609" s="172"/>
    </row>
    <row r="610" spans="7:25" ht="12.75">
      <c r="G610" s="172"/>
      <c r="U610" s="172"/>
      <c r="V610" s="172"/>
      <c r="Y610" s="172"/>
    </row>
    <row r="611" spans="7:25" ht="12.75">
      <c r="G611" s="172"/>
      <c r="U611" s="172"/>
      <c r="V611" s="172"/>
      <c r="Y611" s="172"/>
    </row>
    <row r="612" spans="7:25" ht="12.75">
      <c r="G612" s="172"/>
      <c r="U612" s="172"/>
      <c r="V612" s="172"/>
      <c r="Y612" s="172"/>
    </row>
    <row r="613" spans="7:25" ht="12.75">
      <c r="G613" s="172"/>
      <c r="U613" s="172"/>
      <c r="V613" s="172"/>
      <c r="Y613" s="172"/>
    </row>
    <row r="614" spans="7:25" ht="12.75">
      <c r="G614" s="172"/>
      <c r="U614" s="172"/>
      <c r="V614" s="172"/>
      <c r="Y614" s="172"/>
    </row>
    <row r="615" spans="7:25" ht="12.75">
      <c r="G615" s="172"/>
      <c r="U615" s="172"/>
      <c r="V615" s="172"/>
      <c r="Y615" s="172"/>
    </row>
    <row r="616" spans="7:25" ht="12.75">
      <c r="G616" s="172"/>
      <c r="U616" s="172"/>
      <c r="V616" s="172"/>
      <c r="Y616" s="172"/>
    </row>
    <row r="617" spans="7:25" ht="12.75">
      <c r="G617" s="172"/>
      <c r="U617" s="172"/>
      <c r="V617" s="172"/>
      <c r="Y617" s="172"/>
    </row>
    <row r="618" spans="7:25" ht="12.75">
      <c r="G618" s="172"/>
      <c r="U618" s="172"/>
      <c r="V618" s="172"/>
      <c r="Y618" s="172"/>
    </row>
    <row r="619" spans="7:25" ht="12.75">
      <c r="G619" s="172"/>
      <c r="U619" s="172"/>
      <c r="V619" s="172"/>
      <c r="Y619" s="172"/>
    </row>
    <row r="620" spans="7:25" ht="12.75">
      <c r="G620" s="172"/>
      <c r="U620" s="172"/>
      <c r="V620" s="172"/>
      <c r="Y620" s="172"/>
    </row>
    <row r="621" spans="7:25" ht="12.75">
      <c r="G621" s="172"/>
      <c r="U621" s="172"/>
      <c r="V621" s="172"/>
      <c r="Y621" s="172"/>
    </row>
    <row r="622" spans="7:25" ht="12.75">
      <c r="G622" s="172"/>
      <c r="U622" s="172"/>
      <c r="V622" s="172"/>
      <c r="Y622" s="172"/>
    </row>
    <row r="623" spans="7:25" ht="12.75">
      <c r="G623" s="172"/>
      <c r="U623" s="172"/>
      <c r="V623" s="172"/>
      <c r="Y623" s="172"/>
    </row>
    <row r="624" spans="7:25" ht="12.75">
      <c r="G624" s="172"/>
      <c r="U624" s="172"/>
      <c r="V624" s="172"/>
      <c r="Y624" s="172"/>
    </row>
    <row r="625" spans="7:25" ht="12.75">
      <c r="G625" s="172"/>
      <c r="U625" s="172"/>
      <c r="V625" s="172"/>
      <c r="Y625" s="172"/>
    </row>
    <row r="626" spans="7:25" ht="12.75">
      <c r="G626" s="172"/>
      <c r="U626" s="172"/>
      <c r="V626" s="172"/>
      <c r="Y626" s="172"/>
    </row>
    <row r="627" spans="7:25" ht="12.75">
      <c r="G627" s="172"/>
      <c r="U627" s="172"/>
      <c r="V627" s="172"/>
      <c r="Y627" s="172"/>
    </row>
    <row r="628" spans="7:25" ht="12.75">
      <c r="G628" s="172"/>
      <c r="U628" s="172"/>
      <c r="V628" s="172"/>
      <c r="Y628" s="172"/>
    </row>
    <row r="629" spans="7:25" ht="12.75">
      <c r="G629" s="172"/>
      <c r="U629" s="172"/>
      <c r="V629" s="172"/>
      <c r="Y629" s="172"/>
    </row>
    <row r="630" spans="7:25" ht="12.75">
      <c r="G630" s="172"/>
      <c r="U630" s="172"/>
      <c r="V630" s="172"/>
      <c r="Y630" s="172"/>
    </row>
    <row r="631" spans="7:25" ht="12.75">
      <c r="G631" s="172"/>
      <c r="U631" s="172"/>
      <c r="V631" s="172"/>
      <c r="Y631" s="172"/>
    </row>
    <row r="632" spans="7:25" ht="12.75">
      <c r="G632" s="172"/>
      <c r="U632" s="172"/>
      <c r="V632" s="172"/>
      <c r="Y632" s="172"/>
    </row>
    <row r="633" spans="7:25" ht="12.75">
      <c r="G633" s="172"/>
      <c r="U633" s="172"/>
      <c r="V633" s="172"/>
      <c r="Y633" s="172"/>
    </row>
    <row r="634" spans="7:25" ht="12.75">
      <c r="G634" s="172"/>
      <c r="U634" s="172"/>
      <c r="V634" s="172"/>
      <c r="Y634" s="172"/>
    </row>
    <row r="635" spans="7:25" ht="12.75">
      <c r="G635" s="172"/>
      <c r="U635" s="172"/>
      <c r="V635" s="172"/>
      <c r="Y635" s="172"/>
    </row>
    <row r="636" spans="7:25" ht="12.75">
      <c r="G636" s="172"/>
      <c r="U636" s="172"/>
      <c r="V636" s="172"/>
      <c r="Y636" s="172"/>
    </row>
    <row r="637" spans="7:25" ht="12.75">
      <c r="G637" s="172"/>
      <c r="U637" s="172"/>
      <c r="V637" s="172"/>
      <c r="Y637" s="172"/>
    </row>
    <row r="638" spans="7:25" ht="12.75">
      <c r="G638" s="172"/>
      <c r="U638" s="172"/>
      <c r="V638" s="172"/>
      <c r="Y638" s="172"/>
    </row>
    <row r="639" spans="7:25" ht="12.75">
      <c r="G639" s="172"/>
      <c r="U639" s="172"/>
      <c r="V639" s="172"/>
      <c r="Y639" s="172"/>
    </row>
    <row r="640" spans="7:25" ht="12.75">
      <c r="G640" s="172"/>
      <c r="U640" s="172"/>
      <c r="V640" s="172"/>
      <c r="Y640" s="172"/>
    </row>
    <row r="641" spans="7:25" ht="12.75">
      <c r="G641" s="172"/>
      <c r="U641" s="172"/>
      <c r="V641" s="172"/>
      <c r="Y641" s="172"/>
    </row>
    <row r="642" spans="7:25" ht="12.75">
      <c r="G642" s="172"/>
      <c r="U642" s="172"/>
      <c r="V642" s="172"/>
      <c r="Y642" s="172"/>
    </row>
    <row r="643" spans="7:25" ht="12.75">
      <c r="G643" s="172"/>
      <c r="U643" s="172"/>
      <c r="V643" s="172"/>
      <c r="Y643" s="172"/>
    </row>
    <row r="644" spans="7:25" ht="12.75">
      <c r="G644" s="172"/>
      <c r="U644" s="172"/>
      <c r="V644" s="172"/>
      <c r="Y644" s="172"/>
    </row>
    <row r="645" spans="7:25" ht="12.75">
      <c r="G645" s="172"/>
      <c r="U645" s="172"/>
      <c r="V645" s="172"/>
      <c r="Y645" s="172"/>
    </row>
    <row r="646" spans="7:25" ht="12.75">
      <c r="G646" s="172"/>
      <c r="U646" s="172"/>
      <c r="V646" s="172"/>
      <c r="Y646" s="172"/>
    </row>
    <row r="647" spans="7:25" ht="12.75">
      <c r="G647" s="172"/>
      <c r="U647" s="172"/>
      <c r="V647" s="172"/>
      <c r="Y647" s="172"/>
    </row>
    <row r="648" spans="7:25" ht="12.75">
      <c r="G648" s="172"/>
      <c r="U648" s="172"/>
      <c r="V648" s="172"/>
      <c r="Y648" s="172"/>
    </row>
    <row r="649" spans="7:25" ht="12.75">
      <c r="G649" s="172"/>
      <c r="U649" s="172"/>
      <c r="V649" s="172"/>
      <c r="Y649" s="172"/>
    </row>
    <row r="650" spans="7:25" ht="12.75">
      <c r="G650" s="172"/>
      <c r="U650" s="172"/>
      <c r="V650" s="172"/>
      <c r="Y650" s="172"/>
    </row>
    <row r="651" spans="7:25" ht="12.75">
      <c r="G651" s="172"/>
      <c r="U651" s="172"/>
      <c r="V651" s="172"/>
      <c r="Y651" s="172"/>
    </row>
    <row r="652" spans="7:25" ht="12.75">
      <c r="G652" s="172"/>
      <c r="U652" s="172"/>
      <c r="V652" s="172"/>
      <c r="Y652" s="172"/>
    </row>
    <row r="653" spans="7:25" ht="12.75">
      <c r="G653" s="172"/>
      <c r="U653" s="172"/>
      <c r="V653" s="172"/>
      <c r="Y653" s="172"/>
    </row>
    <row r="654" spans="7:25" ht="12.75">
      <c r="G654" s="172"/>
      <c r="U654" s="172"/>
      <c r="V654" s="172"/>
      <c r="Y654" s="172"/>
    </row>
    <row r="655" spans="7:25" ht="12.75">
      <c r="G655" s="172"/>
      <c r="U655" s="172"/>
      <c r="V655" s="172"/>
      <c r="Y655" s="172"/>
    </row>
    <row r="656" spans="7:25" ht="12.75">
      <c r="G656" s="172"/>
      <c r="U656" s="172"/>
      <c r="V656" s="172"/>
      <c r="Y656" s="172"/>
    </row>
    <row r="657" spans="7:25" ht="12.75">
      <c r="G657" s="172"/>
      <c r="U657" s="172"/>
      <c r="V657" s="172"/>
      <c r="Y657" s="172"/>
    </row>
    <row r="658" spans="7:25" ht="12.75">
      <c r="G658" s="172"/>
      <c r="U658" s="172"/>
      <c r="V658" s="172"/>
      <c r="Y658" s="172"/>
    </row>
    <row r="659" spans="7:25" ht="12.75">
      <c r="G659" s="172"/>
      <c r="U659" s="172"/>
      <c r="V659" s="172"/>
      <c r="Y659" s="172"/>
    </row>
    <row r="660" spans="7:25" ht="12.75">
      <c r="G660" s="172"/>
      <c r="U660" s="172"/>
      <c r="V660" s="172"/>
      <c r="Y660" s="172"/>
    </row>
    <row r="661" spans="7:25" ht="12.75">
      <c r="G661" s="172"/>
      <c r="U661" s="172"/>
      <c r="V661" s="172"/>
      <c r="Y661" s="172"/>
    </row>
    <row r="662" spans="7:25" ht="12.75">
      <c r="G662" s="172"/>
      <c r="U662" s="172"/>
      <c r="V662" s="172"/>
      <c r="Y662" s="172"/>
    </row>
    <row r="663" spans="7:25" ht="12.75">
      <c r="G663" s="172"/>
      <c r="U663" s="172"/>
      <c r="V663" s="172"/>
      <c r="Y663" s="172"/>
    </row>
    <row r="664" spans="7:25" ht="12.75">
      <c r="G664" s="172"/>
      <c r="U664" s="172"/>
      <c r="V664" s="172"/>
      <c r="Y664" s="172"/>
    </row>
    <row r="665" spans="7:25" ht="12.75">
      <c r="G665" s="172"/>
      <c r="U665" s="172"/>
      <c r="V665" s="172"/>
      <c r="Y665" s="172"/>
    </row>
    <row r="666" spans="7:25" ht="12.75">
      <c r="G666" s="172"/>
      <c r="U666" s="172"/>
      <c r="V666" s="172"/>
      <c r="Y666" s="172"/>
    </row>
    <row r="667" spans="7:25" ht="12.75">
      <c r="G667" s="172"/>
      <c r="U667" s="172"/>
      <c r="V667" s="172"/>
      <c r="Y667" s="172"/>
    </row>
    <row r="668" spans="7:25" ht="12.75">
      <c r="G668" s="172"/>
      <c r="U668" s="172"/>
      <c r="V668" s="172"/>
      <c r="Y668" s="172"/>
    </row>
    <row r="669" spans="7:25" ht="12.75">
      <c r="G669" s="172"/>
      <c r="U669" s="172"/>
      <c r="V669" s="172"/>
      <c r="Y669" s="172"/>
    </row>
    <row r="670" spans="7:25" ht="12.75">
      <c r="G670" s="172"/>
      <c r="U670" s="172"/>
      <c r="V670" s="172"/>
      <c r="Y670" s="172"/>
    </row>
    <row r="671" spans="7:25" ht="12.75">
      <c r="G671" s="172"/>
      <c r="U671" s="172"/>
      <c r="V671" s="172"/>
      <c r="Y671" s="172"/>
    </row>
    <row r="672" spans="7:25" ht="12.75">
      <c r="G672" s="172"/>
      <c r="U672" s="172"/>
      <c r="V672" s="172"/>
      <c r="Y672" s="172"/>
    </row>
    <row r="673" spans="7:25" ht="12.75">
      <c r="G673" s="172"/>
      <c r="U673" s="172"/>
      <c r="V673" s="172"/>
      <c r="Y673" s="172"/>
    </row>
    <row r="674" spans="7:25" ht="12.75">
      <c r="G674" s="172"/>
      <c r="U674" s="172"/>
      <c r="V674" s="172"/>
      <c r="Y674" s="172"/>
    </row>
    <row r="675" spans="7:25" ht="12.75">
      <c r="G675" s="172"/>
      <c r="U675" s="172"/>
      <c r="V675" s="172"/>
      <c r="Y675" s="172"/>
    </row>
    <row r="676" spans="7:25" ht="12.75">
      <c r="G676" s="172"/>
      <c r="U676" s="172"/>
      <c r="V676" s="172"/>
      <c r="Y676" s="172"/>
    </row>
    <row r="677" spans="7:25" ht="12.75">
      <c r="G677" s="172"/>
      <c r="U677" s="172"/>
      <c r="V677" s="172"/>
      <c r="Y677" s="172"/>
    </row>
    <row r="678" spans="7:25" ht="12.75">
      <c r="G678" s="172"/>
      <c r="U678" s="172"/>
      <c r="V678" s="172"/>
      <c r="Y678" s="172"/>
    </row>
    <row r="679" spans="7:25" ht="12.75">
      <c r="G679" s="172"/>
      <c r="U679" s="172"/>
      <c r="V679" s="172"/>
      <c r="Y679" s="172"/>
    </row>
    <row r="680" spans="7:25" ht="12.75">
      <c r="G680" s="172"/>
      <c r="U680" s="172"/>
      <c r="V680" s="172"/>
      <c r="Y680" s="172"/>
    </row>
    <row r="681" spans="7:25" ht="12.75">
      <c r="G681" s="172"/>
      <c r="U681" s="172"/>
      <c r="V681" s="172"/>
      <c r="Y681" s="172"/>
    </row>
    <row r="682" spans="7:25" ht="12.75">
      <c r="G682" s="172"/>
      <c r="U682" s="172"/>
      <c r="V682" s="172"/>
      <c r="Y682" s="172"/>
    </row>
    <row r="683" spans="7:25" ht="12.75">
      <c r="G683" s="172"/>
      <c r="U683" s="172"/>
      <c r="V683" s="172"/>
      <c r="Y683" s="172"/>
    </row>
    <row r="684" spans="7:25" ht="12.75">
      <c r="G684" s="172"/>
      <c r="U684" s="172"/>
      <c r="V684" s="172"/>
      <c r="Y684" s="172"/>
    </row>
    <row r="685" spans="7:25" ht="12.75">
      <c r="G685" s="172"/>
      <c r="U685" s="172"/>
      <c r="V685" s="172"/>
      <c r="Y685" s="172"/>
    </row>
    <row r="686" spans="7:25" ht="12.75">
      <c r="G686" s="172"/>
      <c r="U686" s="172"/>
      <c r="V686" s="172"/>
      <c r="Y686" s="172"/>
    </row>
    <row r="687" spans="7:25" ht="12.75">
      <c r="G687" s="172"/>
      <c r="U687" s="172"/>
      <c r="V687" s="172"/>
      <c r="Y687" s="172"/>
    </row>
    <row r="688" spans="7:25" ht="12.75">
      <c r="G688" s="172"/>
      <c r="U688" s="172"/>
      <c r="V688" s="172"/>
      <c r="Y688" s="172"/>
    </row>
    <row r="689" spans="7:25" ht="12.75">
      <c r="G689" s="172"/>
      <c r="U689" s="172"/>
      <c r="V689" s="172"/>
      <c r="Y689" s="172"/>
    </row>
    <row r="690" spans="7:25" ht="12.75">
      <c r="G690" s="172"/>
      <c r="U690" s="172"/>
      <c r="V690" s="172"/>
      <c r="Y690" s="172"/>
    </row>
    <row r="691" spans="7:25" ht="12.75">
      <c r="G691" s="172"/>
      <c r="U691" s="172"/>
      <c r="V691" s="172"/>
      <c r="Y691" s="172"/>
    </row>
    <row r="692" spans="7:25" ht="12.75">
      <c r="G692" s="172"/>
      <c r="U692" s="172"/>
      <c r="V692" s="172"/>
      <c r="Y692" s="172"/>
    </row>
    <row r="693" spans="7:25" ht="12.75">
      <c r="G693" s="172"/>
      <c r="U693" s="172"/>
      <c r="V693" s="172"/>
      <c r="Y693" s="172"/>
    </row>
    <row r="694" spans="7:25" ht="12.75">
      <c r="G694" s="172"/>
      <c r="U694" s="172"/>
      <c r="V694" s="172"/>
      <c r="Y694" s="172"/>
    </row>
    <row r="695" spans="7:25" ht="12.75">
      <c r="G695" s="172"/>
      <c r="U695" s="172"/>
      <c r="V695" s="172"/>
      <c r="Y695" s="172"/>
    </row>
    <row r="696" spans="7:25" ht="12.75">
      <c r="G696" s="172"/>
      <c r="U696" s="172"/>
      <c r="V696" s="172"/>
      <c r="Y696" s="172"/>
    </row>
    <row r="697" spans="7:25" ht="12.75">
      <c r="G697" s="172"/>
      <c r="U697" s="172"/>
      <c r="V697" s="172"/>
      <c r="Y697" s="172"/>
    </row>
    <row r="698" spans="7:25" ht="12.75">
      <c r="G698" s="172"/>
      <c r="U698" s="172"/>
      <c r="V698" s="172"/>
      <c r="Y698" s="172"/>
    </row>
    <row r="699" spans="7:25" ht="12.75">
      <c r="G699" s="172"/>
      <c r="U699" s="172"/>
      <c r="V699" s="172"/>
      <c r="Y699" s="172"/>
    </row>
    <row r="700" spans="7:25" ht="12.75">
      <c r="G700" s="172"/>
      <c r="U700" s="172"/>
      <c r="V700" s="172"/>
      <c r="Y700" s="172"/>
    </row>
    <row r="701" spans="7:25" ht="12.75">
      <c r="G701" s="172"/>
      <c r="U701" s="172"/>
      <c r="V701" s="172"/>
      <c r="Y701" s="172"/>
    </row>
    <row r="702" spans="7:25" ht="12.75">
      <c r="G702" s="172"/>
      <c r="U702" s="172"/>
      <c r="V702" s="172"/>
      <c r="Y702" s="172"/>
    </row>
    <row r="703" spans="7:25" ht="12.75">
      <c r="G703" s="172"/>
      <c r="U703" s="172"/>
      <c r="V703" s="172"/>
      <c r="Y703" s="172"/>
    </row>
    <row r="704" spans="7:25" ht="12.75">
      <c r="G704" s="172"/>
      <c r="U704" s="172"/>
      <c r="V704" s="172"/>
      <c r="Y704" s="172"/>
    </row>
    <row r="705" spans="7:25" ht="12.75">
      <c r="G705" s="172"/>
      <c r="U705" s="172"/>
      <c r="V705" s="172"/>
      <c r="Y705" s="172"/>
    </row>
    <row r="706" spans="7:25" ht="12.75">
      <c r="G706" s="172"/>
      <c r="U706" s="172"/>
      <c r="V706" s="172"/>
      <c r="Y706" s="172"/>
    </row>
    <row r="707" spans="7:25" ht="12.75">
      <c r="G707" s="172"/>
      <c r="U707" s="172"/>
      <c r="V707" s="172"/>
      <c r="Y707" s="172"/>
    </row>
    <row r="708" spans="7:25" ht="12.75">
      <c r="G708" s="172"/>
      <c r="U708" s="172"/>
      <c r="V708" s="172"/>
      <c r="Y708" s="172"/>
    </row>
    <row r="709" spans="7:25" ht="12.75">
      <c r="G709" s="172"/>
      <c r="U709" s="172"/>
      <c r="V709" s="172"/>
      <c r="Y709" s="172"/>
    </row>
    <row r="710" spans="7:25" ht="12.75">
      <c r="G710" s="172"/>
      <c r="U710" s="172"/>
      <c r="V710" s="172"/>
      <c r="Y710" s="172"/>
    </row>
    <row r="711" spans="7:25" ht="12.75">
      <c r="G711" s="172"/>
      <c r="U711" s="172"/>
      <c r="V711" s="172"/>
      <c r="Y711" s="172"/>
    </row>
    <row r="712" spans="7:25" ht="12.75">
      <c r="G712" s="172"/>
      <c r="U712" s="172"/>
      <c r="V712" s="172"/>
      <c r="Y712" s="172"/>
    </row>
    <row r="713" spans="7:25" ht="12.75">
      <c r="G713" s="172"/>
      <c r="U713" s="172"/>
      <c r="V713" s="172"/>
      <c r="Y713" s="172"/>
    </row>
    <row r="714" spans="7:25" ht="12.75">
      <c r="G714" s="172"/>
      <c r="U714" s="172"/>
      <c r="V714" s="172"/>
      <c r="Y714" s="172"/>
    </row>
    <row r="715" spans="7:25" ht="12.75">
      <c r="G715" s="172"/>
      <c r="U715" s="172"/>
      <c r="V715" s="172"/>
      <c r="Y715" s="172"/>
    </row>
    <row r="716" spans="7:25" ht="12.75">
      <c r="G716" s="172"/>
      <c r="U716" s="172"/>
      <c r="V716" s="172"/>
      <c r="Y716" s="172"/>
    </row>
    <row r="717" spans="7:25" ht="12.75">
      <c r="G717" s="172"/>
      <c r="U717" s="172"/>
      <c r="V717" s="172"/>
      <c r="Y717" s="172"/>
    </row>
    <row r="718" spans="7:25" ht="12.75">
      <c r="G718" s="172"/>
      <c r="U718" s="172"/>
      <c r="V718" s="172"/>
      <c r="Y718" s="172"/>
    </row>
    <row r="719" spans="7:25" ht="12.75">
      <c r="G719" s="172"/>
      <c r="U719" s="172"/>
      <c r="V719" s="172"/>
      <c r="Y719" s="172"/>
    </row>
    <row r="720" spans="7:25" ht="12.75">
      <c r="G720" s="172"/>
      <c r="U720" s="172"/>
      <c r="V720" s="172"/>
      <c r="Y720" s="172"/>
    </row>
    <row r="721" spans="7:25" ht="12.75">
      <c r="G721" s="172"/>
      <c r="U721" s="172"/>
      <c r="V721" s="172"/>
      <c r="Y721" s="172"/>
    </row>
    <row r="722" spans="7:25" ht="12.75">
      <c r="G722" s="172"/>
      <c r="U722" s="172"/>
      <c r="V722" s="172"/>
      <c r="Y722" s="172"/>
    </row>
    <row r="723" spans="7:25" ht="12.75">
      <c r="G723" s="172"/>
      <c r="U723" s="172"/>
      <c r="V723" s="172"/>
      <c r="Y723" s="172"/>
    </row>
    <row r="724" spans="7:25" ht="12.75">
      <c r="G724" s="172"/>
      <c r="U724" s="172"/>
      <c r="V724" s="172"/>
      <c r="Y724" s="172"/>
    </row>
    <row r="725" spans="7:25" ht="12.75">
      <c r="G725" s="172"/>
      <c r="U725" s="172"/>
      <c r="V725" s="172"/>
      <c r="Y725" s="172"/>
    </row>
    <row r="726" spans="7:25" ht="12.75">
      <c r="G726" s="172"/>
      <c r="U726" s="172"/>
      <c r="V726" s="172"/>
      <c r="Y726" s="172"/>
    </row>
    <row r="727" spans="7:25" ht="12.75">
      <c r="G727" s="172"/>
      <c r="U727" s="172"/>
      <c r="V727" s="172"/>
      <c r="Y727" s="172"/>
    </row>
    <row r="728" spans="7:25" ht="12.75">
      <c r="G728" s="172"/>
      <c r="U728" s="172"/>
      <c r="V728" s="172"/>
      <c r="Y728" s="172"/>
    </row>
    <row r="729" spans="7:25" ht="12.75">
      <c r="G729" s="172"/>
      <c r="U729" s="172"/>
      <c r="V729" s="172"/>
      <c r="Y729" s="172"/>
    </row>
    <row r="730" spans="7:25" ht="12.75">
      <c r="G730" s="172"/>
      <c r="U730" s="172"/>
      <c r="V730" s="172"/>
      <c r="Y730" s="172"/>
    </row>
    <row r="731" spans="7:25" ht="12.75">
      <c r="G731" s="172"/>
      <c r="U731" s="172"/>
      <c r="V731" s="172"/>
      <c r="Y731" s="172"/>
    </row>
    <row r="732" spans="7:25" ht="12.75">
      <c r="G732" s="172"/>
      <c r="U732" s="172"/>
      <c r="V732" s="172"/>
      <c r="Y732" s="172"/>
    </row>
    <row r="733" spans="7:25" ht="12.75">
      <c r="G733" s="172"/>
      <c r="U733" s="172"/>
      <c r="V733" s="172"/>
      <c r="Y733" s="172"/>
    </row>
    <row r="734" spans="7:25" ht="12.75">
      <c r="G734" s="172"/>
      <c r="U734" s="172"/>
      <c r="V734" s="172"/>
      <c r="Y734" s="172"/>
    </row>
    <row r="735" spans="7:25" ht="12.75">
      <c r="G735" s="172"/>
      <c r="U735" s="172"/>
      <c r="V735" s="172"/>
      <c r="Y735" s="172"/>
    </row>
    <row r="736" spans="7:25" ht="12.75">
      <c r="G736" s="172"/>
      <c r="U736" s="172"/>
      <c r="V736" s="172"/>
      <c r="Y736" s="172"/>
    </row>
    <row r="737" spans="7:25" ht="12.75">
      <c r="G737" s="172"/>
      <c r="U737" s="172"/>
      <c r="V737" s="172"/>
      <c r="Y737" s="172"/>
    </row>
    <row r="738" spans="7:25" ht="12.75">
      <c r="G738" s="172"/>
      <c r="U738" s="172"/>
      <c r="V738" s="172"/>
      <c r="Y738" s="172"/>
    </row>
    <row r="739" spans="7:25" ht="12.75">
      <c r="G739" s="172"/>
      <c r="U739" s="172"/>
      <c r="V739" s="172"/>
      <c r="Y739" s="172"/>
    </row>
    <row r="740" spans="7:25" ht="12.75">
      <c r="G740" s="172"/>
      <c r="U740" s="172"/>
      <c r="V740" s="172"/>
      <c r="Y740" s="172"/>
    </row>
    <row r="741" spans="7:25" ht="12.75">
      <c r="G741" s="172"/>
      <c r="U741" s="172"/>
      <c r="V741" s="172"/>
      <c r="Y741" s="172"/>
    </row>
    <row r="742" spans="7:25" ht="12.75">
      <c r="G742" s="172"/>
      <c r="U742" s="172"/>
      <c r="V742" s="172"/>
      <c r="Y742" s="172"/>
    </row>
    <row r="743" spans="7:25" ht="12.75">
      <c r="G743" s="172"/>
      <c r="U743" s="172"/>
      <c r="V743" s="172"/>
      <c r="Y743" s="172"/>
    </row>
    <row r="744" spans="7:25" ht="12.75">
      <c r="G744" s="172"/>
      <c r="U744" s="172"/>
      <c r="V744" s="172"/>
      <c r="Y744" s="172"/>
    </row>
    <row r="745" spans="7:25" ht="12.75">
      <c r="G745" s="172"/>
      <c r="U745" s="172"/>
      <c r="V745" s="172"/>
      <c r="Y745" s="172"/>
    </row>
    <row r="746" spans="7:25" ht="12.75">
      <c r="G746" s="172"/>
      <c r="U746" s="172"/>
      <c r="V746" s="172"/>
      <c r="Y746" s="172"/>
    </row>
    <row r="747" spans="7:25" ht="12.75">
      <c r="G747" s="172"/>
      <c r="U747" s="172"/>
      <c r="V747" s="172"/>
      <c r="Y747" s="172"/>
    </row>
    <row r="748" spans="7:25" ht="12.75">
      <c r="G748" s="172"/>
      <c r="U748" s="172"/>
      <c r="V748" s="172"/>
      <c r="Y748" s="172"/>
    </row>
    <row r="749" spans="7:25" ht="12.75">
      <c r="G749" s="172"/>
      <c r="U749" s="172"/>
      <c r="V749" s="172"/>
      <c r="Y749" s="172"/>
    </row>
  </sheetData>
  <printOptions horizontalCentered="1"/>
  <pageMargins left="0.5" right="0.5" top="0.75" bottom="0.5" header="0.25" footer="0"/>
  <pageSetup fitToHeight="0" horizontalDpi="600" verticalDpi="600" orientation="landscape" scale="70" r:id="rId1"/>
  <rowBreaks count="1" manualBreakCount="1">
    <brk id="34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728"/>
  <sheetViews>
    <sheetView workbookViewId="0" topLeftCell="B2">
      <selection activeCell="B8" sqref="B8"/>
    </sheetView>
  </sheetViews>
  <sheetFormatPr defaultColWidth="9.140625" defaultRowHeight="12.75" outlineLevelRow="1" outlineLevelCol="1"/>
  <cols>
    <col min="1" max="1" width="0" style="172" hidden="1" customWidth="1"/>
    <col min="2" max="2" width="3.8515625" style="173" customWidth="1"/>
    <col min="3" max="3" width="52.140625" style="173" customWidth="1"/>
    <col min="4" max="4" width="2.421875" style="173" customWidth="1"/>
    <col min="5" max="7" width="19.57421875" style="173" customWidth="1"/>
    <col min="8" max="19" width="19.57421875" style="172" hidden="1" customWidth="1" outlineLevel="1"/>
    <col min="20" max="20" width="19.57421875" style="173" customWidth="1" collapsed="1"/>
    <col min="21" max="21" width="19.57421875" style="173" customWidth="1"/>
    <col min="22" max="22" width="17.8515625" style="173" customWidth="1"/>
    <col min="23" max="23" width="11.140625" style="172" hidden="1" customWidth="1"/>
    <col min="24" max="16384" width="8.00390625" style="242" customWidth="1"/>
  </cols>
  <sheetData>
    <row r="1" spans="1:23" s="232" customFormat="1" ht="12.75" hidden="1">
      <c r="A1" s="230" t="s">
        <v>1390</v>
      </c>
      <c r="B1" s="231" t="s">
        <v>1486</v>
      </c>
      <c r="C1" s="231" t="s">
        <v>1391</v>
      </c>
      <c r="D1" s="231" t="s">
        <v>1392</v>
      </c>
      <c r="E1" s="231" t="s">
        <v>1393</v>
      </c>
      <c r="F1" s="231" t="s">
        <v>1394</v>
      </c>
      <c r="G1" s="231" t="s">
        <v>1486</v>
      </c>
      <c r="H1" s="230" t="s">
        <v>1395</v>
      </c>
      <c r="I1" s="230" t="s">
        <v>1396</v>
      </c>
      <c r="J1" s="230" t="s">
        <v>1397</v>
      </c>
      <c r="K1" s="230" t="s">
        <v>1398</v>
      </c>
      <c r="L1" s="230" t="s">
        <v>1399</v>
      </c>
      <c r="M1" s="230" t="s">
        <v>1400</v>
      </c>
      <c r="N1" s="230" t="s">
        <v>1401</v>
      </c>
      <c r="O1" s="230" t="s">
        <v>1402</v>
      </c>
      <c r="P1" s="230" t="s">
        <v>1403</v>
      </c>
      <c r="Q1" s="230" t="s">
        <v>1404</v>
      </c>
      <c r="R1" s="230" t="s">
        <v>1405</v>
      </c>
      <c r="S1" s="230" t="s">
        <v>1406</v>
      </c>
      <c r="T1" s="231" t="s">
        <v>1407</v>
      </c>
      <c r="U1" s="231" t="s">
        <v>1408</v>
      </c>
      <c r="V1" s="231" t="s">
        <v>1488</v>
      </c>
      <c r="W1" s="230"/>
    </row>
    <row r="2" spans="1:23" s="235" customFormat="1" ht="15.75" customHeight="1">
      <c r="A2" s="233"/>
      <c r="B2" s="5" t="str">
        <f>"University of Missouri - "&amp;TEXT(W3,)</f>
        <v>University of Missouri - St. Louis</v>
      </c>
      <c r="C2" s="50"/>
      <c r="D2" s="50"/>
      <c r="E2" s="50"/>
      <c r="F2" s="50"/>
      <c r="G2" s="50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50"/>
      <c r="U2" s="50"/>
      <c r="V2" s="234"/>
      <c r="W2" s="233"/>
    </row>
    <row r="3" spans="1:23" s="235" customFormat="1" ht="15.75" customHeight="1">
      <c r="A3" s="233"/>
      <c r="B3" s="11" t="s">
        <v>1409</v>
      </c>
      <c r="C3" s="51"/>
      <c r="D3" s="51"/>
      <c r="E3" s="51"/>
      <c r="F3" s="51"/>
      <c r="G3" s="51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51"/>
      <c r="U3" s="51"/>
      <c r="V3" s="183"/>
      <c r="W3" s="233" t="s">
        <v>1657</v>
      </c>
    </row>
    <row r="4" spans="1:23" s="235" customFormat="1" ht="15.75" customHeight="1">
      <c r="A4" s="233"/>
      <c r="B4" s="85" t="str">
        <f>"For the Year Ending "&amp;TEXT(W4,"MMMM DD, YYY")</f>
        <v>For the Year Ending June 30, 2004</v>
      </c>
      <c r="C4" s="51"/>
      <c r="D4" s="51"/>
      <c r="E4" s="51"/>
      <c r="F4" s="51"/>
      <c r="G4" s="51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51"/>
      <c r="U4" s="51"/>
      <c r="V4" s="183"/>
      <c r="W4" s="233" t="s">
        <v>1656</v>
      </c>
    </row>
    <row r="5" spans="1:23" s="235" customFormat="1" ht="12.75" customHeight="1">
      <c r="A5" s="233"/>
      <c r="B5" s="236"/>
      <c r="C5" s="237"/>
      <c r="D5" s="182"/>
      <c r="E5" s="237"/>
      <c r="F5" s="237"/>
      <c r="G5" s="237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7"/>
      <c r="U5" s="237"/>
      <c r="V5" s="238"/>
      <c r="W5" s="233"/>
    </row>
    <row r="6" spans="2:22" ht="12.75">
      <c r="B6" s="239"/>
      <c r="C6" s="240"/>
      <c r="D6" s="241"/>
      <c r="E6" s="207" t="s">
        <v>1410</v>
      </c>
      <c r="F6" s="208"/>
      <c r="G6" s="208"/>
      <c r="T6" s="208"/>
      <c r="U6" s="209"/>
      <c r="V6" s="144"/>
    </row>
    <row r="7" spans="1:23" s="249" customFormat="1" ht="45" customHeight="1">
      <c r="A7" s="243" t="s">
        <v>1487</v>
      </c>
      <c r="B7" s="244"/>
      <c r="C7" s="245"/>
      <c r="D7" s="246"/>
      <c r="E7" s="247" t="s">
        <v>1411</v>
      </c>
      <c r="F7" s="247" t="s">
        <v>1412</v>
      </c>
      <c r="G7" s="247" t="s">
        <v>1413</v>
      </c>
      <c r="H7" s="243" t="s">
        <v>1414</v>
      </c>
      <c r="I7" s="243" t="s">
        <v>1415</v>
      </c>
      <c r="J7" s="243" t="s">
        <v>1416</v>
      </c>
      <c r="K7" s="243" t="s">
        <v>1417</v>
      </c>
      <c r="L7" s="243" t="s">
        <v>1418</v>
      </c>
      <c r="M7" s="243" t="s">
        <v>1419</v>
      </c>
      <c r="N7" s="243" t="s">
        <v>1420</v>
      </c>
      <c r="O7" s="243" t="s">
        <v>1421</v>
      </c>
      <c r="P7" s="243" t="s">
        <v>1422</v>
      </c>
      <c r="Q7" s="243" t="s">
        <v>1423</v>
      </c>
      <c r="R7" s="243" t="s">
        <v>1424</v>
      </c>
      <c r="S7" s="243" t="s">
        <v>1425</v>
      </c>
      <c r="T7" s="247" t="s">
        <v>1426</v>
      </c>
      <c r="U7" s="247" t="s">
        <v>1427</v>
      </c>
      <c r="V7" s="248" t="s">
        <v>1428</v>
      </c>
      <c r="W7" s="243"/>
    </row>
    <row r="8" spans="1:65" s="251" customFormat="1" ht="12.75" customHeight="1">
      <c r="A8" s="214"/>
      <c r="B8" s="207"/>
      <c r="C8" s="208"/>
      <c r="D8" s="209"/>
      <c r="E8" s="193"/>
      <c r="F8" s="193"/>
      <c r="G8" s="193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193"/>
      <c r="U8" s="193"/>
      <c r="V8" s="193"/>
      <c r="W8" s="213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</row>
    <row r="9" spans="1:65" s="251" customFormat="1" ht="12.75" customHeight="1">
      <c r="A9" s="252"/>
      <c r="B9" s="64" t="s">
        <v>1542</v>
      </c>
      <c r="C9" s="212"/>
      <c r="D9" s="65"/>
      <c r="E9" s="190"/>
      <c r="F9" s="190"/>
      <c r="G9" s="190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190"/>
      <c r="U9" s="190"/>
      <c r="V9" s="190"/>
      <c r="W9" s="253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</row>
    <row r="10" spans="1:65" s="232" customFormat="1" ht="12.75" hidden="1" outlineLevel="1">
      <c r="A10" s="230" t="s">
        <v>1429</v>
      </c>
      <c r="B10" s="231"/>
      <c r="C10" s="231" t="s">
        <v>1430</v>
      </c>
      <c r="D10" s="231" t="s">
        <v>1431</v>
      </c>
      <c r="E10" s="231">
        <v>3363105.84</v>
      </c>
      <c r="F10" s="231">
        <v>0</v>
      </c>
      <c r="G10" s="231"/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  <c r="R10" s="230">
        <v>0</v>
      </c>
      <c r="S10" s="230">
        <v>0</v>
      </c>
      <c r="T10" s="231">
        <v>0</v>
      </c>
      <c r="U10" s="231">
        <v>0</v>
      </c>
      <c r="V10" s="231">
        <f aca="true" t="shared" si="0" ref="V10:V41">E10+F10+G10+T10+U10</f>
        <v>3363105.84</v>
      </c>
      <c r="W10" s="230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</row>
    <row r="11" spans="1:65" s="232" customFormat="1" ht="12.75" hidden="1" outlineLevel="1">
      <c r="A11" s="230" t="s">
        <v>1432</v>
      </c>
      <c r="B11" s="231"/>
      <c r="C11" s="231" t="s">
        <v>1433</v>
      </c>
      <c r="D11" s="231" t="s">
        <v>1434</v>
      </c>
      <c r="E11" s="231">
        <v>564069.84</v>
      </c>
      <c r="F11" s="231">
        <v>0</v>
      </c>
      <c r="G11" s="231"/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0</v>
      </c>
      <c r="T11" s="231">
        <v>0</v>
      </c>
      <c r="U11" s="231">
        <v>0</v>
      </c>
      <c r="V11" s="231">
        <f t="shared" si="0"/>
        <v>564069.84</v>
      </c>
      <c r="W11" s="230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</row>
    <row r="12" spans="1:65" s="232" customFormat="1" ht="12.75" hidden="1" outlineLevel="1">
      <c r="A12" s="230" t="s">
        <v>1435</v>
      </c>
      <c r="B12" s="231"/>
      <c r="C12" s="231" t="s">
        <v>1436</v>
      </c>
      <c r="D12" s="231" t="s">
        <v>322</v>
      </c>
      <c r="E12" s="231">
        <v>17625651.53</v>
      </c>
      <c r="F12" s="231">
        <v>0</v>
      </c>
      <c r="G12" s="231"/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1">
        <v>0</v>
      </c>
      <c r="U12" s="231">
        <v>0</v>
      </c>
      <c r="V12" s="231">
        <f t="shared" si="0"/>
        <v>17625651.53</v>
      </c>
      <c r="W12" s="230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</row>
    <row r="13" spans="1:65" s="232" customFormat="1" ht="12.75" hidden="1" outlineLevel="1">
      <c r="A13" s="230" t="s">
        <v>323</v>
      </c>
      <c r="B13" s="231"/>
      <c r="C13" s="231" t="s">
        <v>324</v>
      </c>
      <c r="D13" s="231" t="s">
        <v>325</v>
      </c>
      <c r="E13" s="231">
        <v>3137290.92</v>
      </c>
      <c r="F13" s="231">
        <v>0</v>
      </c>
      <c r="G13" s="231"/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1">
        <v>0</v>
      </c>
      <c r="U13" s="231">
        <v>0</v>
      </c>
      <c r="V13" s="231">
        <f t="shared" si="0"/>
        <v>3137290.92</v>
      </c>
      <c r="W13" s="230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</row>
    <row r="14" spans="1:65" s="232" customFormat="1" ht="12.75" hidden="1" outlineLevel="1">
      <c r="A14" s="230" t="s">
        <v>326</v>
      </c>
      <c r="B14" s="231"/>
      <c r="C14" s="231" t="s">
        <v>327</v>
      </c>
      <c r="D14" s="231" t="s">
        <v>328</v>
      </c>
      <c r="E14" s="231">
        <v>16518608.18</v>
      </c>
      <c r="F14" s="231">
        <v>0</v>
      </c>
      <c r="G14" s="231"/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1">
        <v>0</v>
      </c>
      <c r="U14" s="231">
        <v>0</v>
      </c>
      <c r="V14" s="231">
        <f t="shared" si="0"/>
        <v>16518608.18</v>
      </c>
      <c r="W14" s="230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</row>
    <row r="15" spans="1:65" s="232" customFormat="1" ht="12.75" hidden="1" outlineLevel="1">
      <c r="A15" s="230" t="s">
        <v>329</v>
      </c>
      <c r="B15" s="231"/>
      <c r="C15" s="231" t="s">
        <v>330</v>
      </c>
      <c r="D15" s="231" t="s">
        <v>331</v>
      </c>
      <c r="E15" s="231">
        <v>2874066.86</v>
      </c>
      <c r="F15" s="231">
        <v>0</v>
      </c>
      <c r="G15" s="231"/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1">
        <v>0</v>
      </c>
      <c r="U15" s="231">
        <v>0</v>
      </c>
      <c r="V15" s="231">
        <f t="shared" si="0"/>
        <v>2874066.86</v>
      </c>
      <c r="W15" s="230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</row>
    <row r="16" spans="1:65" s="232" customFormat="1" ht="12.75" hidden="1" outlineLevel="1">
      <c r="A16" s="230" t="s">
        <v>332</v>
      </c>
      <c r="B16" s="231"/>
      <c r="C16" s="231" t="s">
        <v>333</v>
      </c>
      <c r="D16" s="231" t="s">
        <v>334</v>
      </c>
      <c r="E16" s="231">
        <v>92901.6</v>
      </c>
      <c r="F16" s="231">
        <v>0</v>
      </c>
      <c r="G16" s="231"/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1">
        <v>0</v>
      </c>
      <c r="U16" s="231">
        <v>0</v>
      </c>
      <c r="V16" s="231">
        <f t="shared" si="0"/>
        <v>92901.6</v>
      </c>
      <c r="W16" s="230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</row>
    <row r="17" spans="1:65" s="232" customFormat="1" ht="12.75" hidden="1" outlineLevel="1">
      <c r="A17" s="230" t="s">
        <v>335</v>
      </c>
      <c r="B17" s="231"/>
      <c r="C17" s="231" t="s">
        <v>336</v>
      </c>
      <c r="D17" s="231" t="s">
        <v>337</v>
      </c>
      <c r="E17" s="231">
        <v>112739.2</v>
      </c>
      <c r="F17" s="231">
        <v>0</v>
      </c>
      <c r="G17" s="231"/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1">
        <v>0</v>
      </c>
      <c r="U17" s="231">
        <v>0</v>
      </c>
      <c r="V17" s="231">
        <f t="shared" si="0"/>
        <v>112739.2</v>
      </c>
      <c r="W17" s="230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</row>
    <row r="18" spans="1:65" s="232" customFormat="1" ht="12.75" hidden="1" outlineLevel="1">
      <c r="A18" s="230" t="s">
        <v>338</v>
      </c>
      <c r="B18" s="231"/>
      <c r="C18" s="231" t="s">
        <v>339</v>
      </c>
      <c r="D18" s="231" t="s">
        <v>340</v>
      </c>
      <c r="E18" s="231">
        <v>732105</v>
      </c>
      <c r="F18" s="231">
        <v>0</v>
      </c>
      <c r="G18" s="231"/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1">
        <v>0</v>
      </c>
      <c r="U18" s="231">
        <v>0</v>
      </c>
      <c r="V18" s="231">
        <f t="shared" si="0"/>
        <v>732105</v>
      </c>
      <c r="W18" s="230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</row>
    <row r="19" spans="1:65" s="232" customFormat="1" ht="12.75" hidden="1" outlineLevel="1">
      <c r="A19" s="230" t="s">
        <v>341</v>
      </c>
      <c r="B19" s="231"/>
      <c r="C19" s="231" t="s">
        <v>342</v>
      </c>
      <c r="D19" s="231" t="s">
        <v>343</v>
      </c>
      <c r="E19" s="231">
        <v>1095180.8</v>
      </c>
      <c r="F19" s="231">
        <v>0</v>
      </c>
      <c r="G19" s="231"/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1">
        <v>0</v>
      </c>
      <c r="U19" s="231">
        <v>0</v>
      </c>
      <c r="V19" s="231">
        <f t="shared" si="0"/>
        <v>1095180.8</v>
      </c>
      <c r="W19" s="230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</row>
    <row r="20" spans="1:65" s="232" customFormat="1" ht="12.75" hidden="1" outlineLevel="1">
      <c r="A20" s="230" t="s">
        <v>344</v>
      </c>
      <c r="B20" s="231"/>
      <c r="C20" s="231" t="s">
        <v>345</v>
      </c>
      <c r="D20" s="231" t="s">
        <v>346</v>
      </c>
      <c r="E20" s="231">
        <v>738668.7</v>
      </c>
      <c r="F20" s="231">
        <v>0</v>
      </c>
      <c r="G20" s="231"/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1">
        <v>0</v>
      </c>
      <c r="U20" s="231">
        <v>0</v>
      </c>
      <c r="V20" s="231">
        <f t="shared" si="0"/>
        <v>738668.7</v>
      </c>
      <c r="W20" s="230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</row>
    <row r="21" spans="1:65" s="232" customFormat="1" ht="12.75" hidden="1" outlineLevel="1">
      <c r="A21" s="230" t="s">
        <v>347</v>
      </c>
      <c r="B21" s="231"/>
      <c r="C21" s="231" t="s">
        <v>348</v>
      </c>
      <c r="D21" s="231" t="s">
        <v>349</v>
      </c>
      <c r="E21" s="231">
        <v>1064982.8</v>
      </c>
      <c r="F21" s="231">
        <v>0</v>
      </c>
      <c r="G21" s="231"/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1">
        <v>0</v>
      </c>
      <c r="U21" s="231">
        <v>0</v>
      </c>
      <c r="V21" s="231">
        <f t="shared" si="0"/>
        <v>1064982.8</v>
      </c>
      <c r="W21" s="230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</row>
    <row r="22" spans="1:65" s="232" customFormat="1" ht="12.75" hidden="1" outlineLevel="1">
      <c r="A22" s="230" t="s">
        <v>350</v>
      </c>
      <c r="B22" s="231"/>
      <c r="C22" s="231" t="s">
        <v>351</v>
      </c>
      <c r="D22" s="231" t="s">
        <v>352</v>
      </c>
      <c r="E22" s="231">
        <v>1410675.7</v>
      </c>
      <c r="F22" s="231">
        <v>0</v>
      </c>
      <c r="G22" s="231"/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1">
        <v>0</v>
      </c>
      <c r="U22" s="231">
        <v>0</v>
      </c>
      <c r="V22" s="231">
        <f t="shared" si="0"/>
        <v>1410675.7</v>
      </c>
      <c r="W22" s="230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</row>
    <row r="23" spans="1:65" s="232" customFormat="1" ht="12.75" hidden="1" outlineLevel="1">
      <c r="A23" s="230" t="s">
        <v>353</v>
      </c>
      <c r="B23" s="231"/>
      <c r="C23" s="231" t="s">
        <v>354</v>
      </c>
      <c r="D23" s="231" t="s">
        <v>355</v>
      </c>
      <c r="E23" s="231">
        <v>1380414.16</v>
      </c>
      <c r="F23" s="231">
        <v>0</v>
      </c>
      <c r="G23" s="231"/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1">
        <v>0</v>
      </c>
      <c r="U23" s="231">
        <v>0</v>
      </c>
      <c r="V23" s="231">
        <f t="shared" si="0"/>
        <v>1380414.16</v>
      </c>
      <c r="W23" s="230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</row>
    <row r="24" spans="1:65" s="232" customFormat="1" ht="12.75" hidden="1" outlineLevel="1">
      <c r="A24" s="230" t="s">
        <v>356</v>
      </c>
      <c r="B24" s="231"/>
      <c r="C24" s="231" t="s">
        <v>357</v>
      </c>
      <c r="D24" s="231" t="s">
        <v>358</v>
      </c>
      <c r="E24" s="231">
        <v>2738979.66</v>
      </c>
      <c r="F24" s="231">
        <v>0</v>
      </c>
      <c r="G24" s="231"/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1">
        <v>0</v>
      </c>
      <c r="U24" s="231">
        <v>0</v>
      </c>
      <c r="V24" s="231">
        <f t="shared" si="0"/>
        <v>2738979.66</v>
      </c>
      <c r="W24" s="230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</row>
    <row r="25" spans="1:65" s="232" customFormat="1" ht="12.75" hidden="1" outlineLevel="1">
      <c r="A25" s="230" t="s">
        <v>359</v>
      </c>
      <c r="B25" s="231"/>
      <c r="C25" s="231" t="s">
        <v>360</v>
      </c>
      <c r="D25" s="231" t="s">
        <v>361</v>
      </c>
      <c r="E25" s="231">
        <v>1907399.32</v>
      </c>
      <c r="F25" s="231">
        <v>0</v>
      </c>
      <c r="G25" s="231"/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1">
        <v>0</v>
      </c>
      <c r="U25" s="231">
        <v>0</v>
      </c>
      <c r="V25" s="231">
        <f t="shared" si="0"/>
        <v>1907399.32</v>
      </c>
      <c r="W25" s="230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</row>
    <row r="26" spans="1:65" s="232" customFormat="1" ht="12.75" hidden="1" outlineLevel="1">
      <c r="A26" s="230" t="s">
        <v>362</v>
      </c>
      <c r="B26" s="231"/>
      <c r="C26" s="231" t="s">
        <v>363</v>
      </c>
      <c r="D26" s="231" t="s">
        <v>364</v>
      </c>
      <c r="E26" s="231">
        <v>2724193.1</v>
      </c>
      <c r="F26" s="231">
        <v>0</v>
      </c>
      <c r="G26" s="231"/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1">
        <v>0</v>
      </c>
      <c r="U26" s="231">
        <v>0</v>
      </c>
      <c r="V26" s="231">
        <f t="shared" si="0"/>
        <v>2724193.1</v>
      </c>
      <c r="W26" s="230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</row>
    <row r="27" spans="1:65" s="232" customFormat="1" ht="12.75" hidden="1" outlineLevel="1">
      <c r="A27" s="230" t="s">
        <v>365</v>
      </c>
      <c r="B27" s="231"/>
      <c r="C27" s="231" t="s">
        <v>366</v>
      </c>
      <c r="D27" s="231" t="s">
        <v>367</v>
      </c>
      <c r="E27" s="231">
        <v>1732127.94</v>
      </c>
      <c r="F27" s="231">
        <v>0</v>
      </c>
      <c r="G27" s="231"/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1">
        <v>0</v>
      </c>
      <c r="U27" s="231">
        <v>0</v>
      </c>
      <c r="V27" s="231">
        <f t="shared" si="0"/>
        <v>1732127.94</v>
      </c>
      <c r="W27" s="230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</row>
    <row r="28" spans="1:65" s="232" customFormat="1" ht="12.75" hidden="1" outlineLevel="1">
      <c r="A28" s="230" t="s">
        <v>1918</v>
      </c>
      <c r="B28" s="231"/>
      <c r="C28" s="231" t="s">
        <v>1919</v>
      </c>
      <c r="D28" s="231" t="s">
        <v>1920</v>
      </c>
      <c r="E28" s="231">
        <v>0</v>
      </c>
      <c r="F28" s="231">
        <v>278086.77</v>
      </c>
      <c r="G28" s="231"/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1">
        <v>0</v>
      </c>
      <c r="U28" s="231">
        <v>0</v>
      </c>
      <c r="V28" s="231">
        <f t="shared" si="0"/>
        <v>278086.77</v>
      </c>
      <c r="W28" s="230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</row>
    <row r="29" spans="1:65" s="232" customFormat="1" ht="12.75" hidden="1" outlineLevel="1">
      <c r="A29" s="230" t="s">
        <v>368</v>
      </c>
      <c r="B29" s="231"/>
      <c r="C29" s="231" t="s">
        <v>369</v>
      </c>
      <c r="D29" s="231" t="s">
        <v>370</v>
      </c>
      <c r="E29" s="231">
        <v>0</v>
      </c>
      <c r="F29" s="231">
        <v>3530206.32</v>
      </c>
      <c r="G29" s="231"/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1">
        <v>0</v>
      </c>
      <c r="U29" s="231">
        <v>0</v>
      </c>
      <c r="V29" s="231">
        <f t="shared" si="0"/>
        <v>3530206.32</v>
      </c>
      <c r="W29" s="230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</row>
    <row r="30" spans="1:65" s="232" customFormat="1" ht="12.75" hidden="1" outlineLevel="1">
      <c r="A30" s="230" t="s">
        <v>371</v>
      </c>
      <c r="B30" s="231"/>
      <c r="C30" s="231" t="s">
        <v>372</v>
      </c>
      <c r="D30" s="231" t="s">
        <v>373</v>
      </c>
      <c r="E30" s="231">
        <v>0</v>
      </c>
      <c r="F30" s="231">
        <v>2288088.84</v>
      </c>
      <c r="G30" s="231"/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1">
        <v>0</v>
      </c>
      <c r="U30" s="231">
        <v>0</v>
      </c>
      <c r="V30" s="231">
        <f t="shared" si="0"/>
        <v>2288088.84</v>
      </c>
      <c r="W30" s="230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</row>
    <row r="31" spans="1:65" s="232" customFormat="1" ht="12.75" hidden="1" outlineLevel="1">
      <c r="A31" s="230" t="s">
        <v>374</v>
      </c>
      <c r="B31" s="231"/>
      <c r="C31" s="231" t="s">
        <v>375</v>
      </c>
      <c r="D31" s="231" t="s">
        <v>376</v>
      </c>
      <c r="E31" s="231">
        <v>155350.52</v>
      </c>
      <c r="F31" s="231">
        <v>0</v>
      </c>
      <c r="G31" s="231"/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1">
        <v>0</v>
      </c>
      <c r="U31" s="231">
        <v>0</v>
      </c>
      <c r="V31" s="231">
        <f t="shared" si="0"/>
        <v>155350.52</v>
      </c>
      <c r="W31" s="230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</row>
    <row r="32" spans="1:65" s="232" customFormat="1" ht="12.75" hidden="1" outlineLevel="1">
      <c r="A32" s="230" t="s">
        <v>377</v>
      </c>
      <c r="B32" s="231"/>
      <c r="C32" s="231" t="s">
        <v>378</v>
      </c>
      <c r="D32" s="231" t="s">
        <v>379</v>
      </c>
      <c r="E32" s="231">
        <v>-57554</v>
      </c>
      <c r="F32" s="231">
        <v>0</v>
      </c>
      <c r="G32" s="231"/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1">
        <v>0</v>
      </c>
      <c r="U32" s="231">
        <v>0</v>
      </c>
      <c r="V32" s="231">
        <f t="shared" si="0"/>
        <v>-57554</v>
      </c>
      <c r="W32" s="230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</row>
    <row r="33" spans="1:65" s="232" customFormat="1" ht="12.75" hidden="1" outlineLevel="1">
      <c r="A33" s="230" t="s">
        <v>380</v>
      </c>
      <c r="B33" s="231"/>
      <c r="C33" s="231" t="s">
        <v>381</v>
      </c>
      <c r="D33" s="231" t="s">
        <v>382</v>
      </c>
      <c r="E33" s="231">
        <v>20688</v>
      </c>
      <c r="F33" s="231">
        <v>0</v>
      </c>
      <c r="G33" s="231"/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1">
        <v>0</v>
      </c>
      <c r="U33" s="231">
        <v>0</v>
      </c>
      <c r="V33" s="231">
        <f t="shared" si="0"/>
        <v>20688</v>
      </c>
      <c r="W33" s="230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</row>
    <row r="34" spans="1:65" s="232" customFormat="1" ht="12.75" hidden="1" outlineLevel="1">
      <c r="A34" s="230" t="s">
        <v>383</v>
      </c>
      <c r="B34" s="231"/>
      <c r="C34" s="231" t="s">
        <v>384</v>
      </c>
      <c r="D34" s="231" t="s">
        <v>385</v>
      </c>
      <c r="E34" s="231">
        <v>665599.42</v>
      </c>
      <c r="F34" s="231">
        <v>0</v>
      </c>
      <c r="G34" s="231"/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1">
        <v>0</v>
      </c>
      <c r="U34" s="231">
        <v>0</v>
      </c>
      <c r="V34" s="231">
        <f t="shared" si="0"/>
        <v>665599.42</v>
      </c>
      <c r="W34" s="230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</row>
    <row r="35" spans="1:65" s="232" customFormat="1" ht="12.75" hidden="1" outlineLevel="1">
      <c r="A35" s="230" t="s">
        <v>386</v>
      </c>
      <c r="B35" s="231"/>
      <c r="C35" s="231" t="s">
        <v>387</v>
      </c>
      <c r="D35" s="231" t="s">
        <v>388</v>
      </c>
      <c r="E35" s="231">
        <v>2799.2</v>
      </c>
      <c r="F35" s="231">
        <v>0</v>
      </c>
      <c r="G35" s="231"/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1">
        <v>0</v>
      </c>
      <c r="U35" s="231">
        <v>0</v>
      </c>
      <c r="V35" s="231">
        <f t="shared" si="0"/>
        <v>2799.2</v>
      </c>
      <c r="W35" s="230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</row>
    <row r="36" spans="1:65" s="232" customFormat="1" ht="12.75" hidden="1" outlineLevel="1">
      <c r="A36" s="230" t="s">
        <v>389</v>
      </c>
      <c r="B36" s="231"/>
      <c r="C36" s="231" t="s">
        <v>390</v>
      </c>
      <c r="D36" s="231" t="s">
        <v>391</v>
      </c>
      <c r="E36" s="231">
        <v>637872.8</v>
      </c>
      <c r="F36" s="231">
        <v>0</v>
      </c>
      <c r="G36" s="231"/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1">
        <v>0</v>
      </c>
      <c r="U36" s="231">
        <v>0</v>
      </c>
      <c r="V36" s="231">
        <f t="shared" si="0"/>
        <v>637872.8</v>
      </c>
      <c r="W36" s="230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</row>
    <row r="37" spans="1:65" s="232" customFormat="1" ht="12.75" hidden="1" outlineLevel="1">
      <c r="A37" s="230" t="s">
        <v>392</v>
      </c>
      <c r="B37" s="231"/>
      <c r="C37" s="231" t="s">
        <v>393</v>
      </c>
      <c r="D37" s="231" t="s">
        <v>394</v>
      </c>
      <c r="E37" s="231">
        <v>325443.78</v>
      </c>
      <c r="F37" s="231">
        <v>0</v>
      </c>
      <c r="G37" s="231"/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1">
        <v>0</v>
      </c>
      <c r="U37" s="231">
        <v>0</v>
      </c>
      <c r="V37" s="231">
        <f t="shared" si="0"/>
        <v>325443.78</v>
      </c>
      <c r="W37" s="230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</row>
    <row r="38" spans="1:65" s="232" customFormat="1" ht="12.75" hidden="1" outlineLevel="1">
      <c r="A38" s="230" t="s">
        <v>395</v>
      </c>
      <c r="B38" s="231"/>
      <c r="C38" s="231" t="s">
        <v>396</v>
      </c>
      <c r="D38" s="231" t="s">
        <v>397</v>
      </c>
      <c r="E38" s="231">
        <v>-75029.8</v>
      </c>
      <c r="F38" s="231">
        <v>0</v>
      </c>
      <c r="G38" s="231"/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1">
        <v>0</v>
      </c>
      <c r="U38" s="231">
        <v>0</v>
      </c>
      <c r="V38" s="231">
        <f t="shared" si="0"/>
        <v>-75029.8</v>
      </c>
      <c r="W38" s="230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</row>
    <row r="39" spans="1:65" s="232" customFormat="1" ht="12.75" hidden="1" outlineLevel="1">
      <c r="A39" s="230" t="s">
        <v>398</v>
      </c>
      <c r="B39" s="231"/>
      <c r="C39" s="231" t="s">
        <v>399</v>
      </c>
      <c r="D39" s="231" t="s">
        <v>400</v>
      </c>
      <c r="E39" s="231">
        <v>1198534.96</v>
      </c>
      <c r="F39" s="231">
        <v>0</v>
      </c>
      <c r="G39" s="231"/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1">
        <v>0</v>
      </c>
      <c r="U39" s="231">
        <v>0</v>
      </c>
      <c r="V39" s="231">
        <f t="shared" si="0"/>
        <v>1198534.96</v>
      </c>
      <c r="W39" s="230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</row>
    <row r="40" spans="1:65" s="232" customFormat="1" ht="12.75" hidden="1" outlineLevel="1">
      <c r="A40" s="230" t="s">
        <v>401</v>
      </c>
      <c r="B40" s="231"/>
      <c r="C40" s="231" t="s">
        <v>402</v>
      </c>
      <c r="D40" s="231" t="s">
        <v>403</v>
      </c>
      <c r="E40" s="231">
        <v>1125145.52</v>
      </c>
      <c r="F40" s="231">
        <v>0</v>
      </c>
      <c r="G40" s="231"/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1">
        <v>0</v>
      </c>
      <c r="U40" s="231">
        <v>0</v>
      </c>
      <c r="V40" s="231">
        <f t="shared" si="0"/>
        <v>1125145.52</v>
      </c>
      <c r="W40" s="230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</row>
    <row r="41" spans="1:65" s="232" customFormat="1" ht="12.75" hidden="1" outlineLevel="1">
      <c r="A41" s="230" t="s">
        <v>1921</v>
      </c>
      <c r="B41" s="231"/>
      <c r="C41" s="231" t="s">
        <v>1922</v>
      </c>
      <c r="D41" s="231" t="s">
        <v>1923</v>
      </c>
      <c r="E41" s="231">
        <v>802756.78</v>
      </c>
      <c r="F41" s="231">
        <v>0</v>
      </c>
      <c r="G41" s="231"/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1">
        <v>0</v>
      </c>
      <c r="U41" s="231">
        <v>0</v>
      </c>
      <c r="V41" s="231">
        <f t="shared" si="0"/>
        <v>802756.78</v>
      </c>
      <c r="W41" s="230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</row>
    <row r="42" spans="1:65" s="232" customFormat="1" ht="12.75" hidden="1" outlineLevel="1">
      <c r="A42" s="230" t="s">
        <v>404</v>
      </c>
      <c r="B42" s="231"/>
      <c r="C42" s="231" t="s">
        <v>405</v>
      </c>
      <c r="D42" s="231" t="s">
        <v>406</v>
      </c>
      <c r="E42" s="231">
        <v>89450.74</v>
      </c>
      <c r="F42" s="231">
        <v>0</v>
      </c>
      <c r="G42" s="231"/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1">
        <v>0</v>
      </c>
      <c r="U42" s="231">
        <v>0</v>
      </c>
      <c r="V42" s="231">
        <f aca="true" t="shared" si="1" ref="V42:V64">E42+F42+G42+T42+U42</f>
        <v>89450.74</v>
      </c>
      <c r="W42" s="230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</row>
    <row r="43" spans="1:65" s="232" customFormat="1" ht="12.75" hidden="1" outlineLevel="1">
      <c r="A43" s="230" t="s">
        <v>407</v>
      </c>
      <c r="B43" s="231"/>
      <c r="C43" s="231" t="s">
        <v>408</v>
      </c>
      <c r="D43" s="231" t="s">
        <v>409</v>
      </c>
      <c r="E43" s="231">
        <v>99.17</v>
      </c>
      <c r="F43" s="231">
        <v>0</v>
      </c>
      <c r="G43" s="231"/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1">
        <v>0</v>
      </c>
      <c r="U43" s="231">
        <v>0</v>
      </c>
      <c r="V43" s="231">
        <f t="shared" si="1"/>
        <v>99.17</v>
      </c>
      <c r="W43" s="230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</row>
    <row r="44" spans="1:65" s="232" customFormat="1" ht="12.75" hidden="1" outlineLevel="1">
      <c r="A44" s="230" t="s">
        <v>410</v>
      </c>
      <c r="B44" s="231"/>
      <c r="C44" s="231" t="s">
        <v>411</v>
      </c>
      <c r="D44" s="231" t="s">
        <v>412</v>
      </c>
      <c r="E44" s="231">
        <v>-10514.66</v>
      </c>
      <c r="F44" s="231">
        <v>0</v>
      </c>
      <c r="G44" s="231"/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1">
        <v>0</v>
      </c>
      <c r="U44" s="231">
        <v>0</v>
      </c>
      <c r="V44" s="231">
        <f t="shared" si="1"/>
        <v>-10514.66</v>
      </c>
      <c r="W44" s="230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</row>
    <row r="45" spans="1:65" s="232" customFormat="1" ht="12.75" hidden="1" outlineLevel="1">
      <c r="A45" s="230" t="s">
        <v>413</v>
      </c>
      <c r="B45" s="231"/>
      <c r="C45" s="231" t="s">
        <v>414</v>
      </c>
      <c r="D45" s="231" t="s">
        <v>415</v>
      </c>
      <c r="E45" s="231">
        <v>66738.82</v>
      </c>
      <c r="F45" s="231">
        <v>0</v>
      </c>
      <c r="G45" s="231"/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  <c r="T45" s="231">
        <v>0</v>
      </c>
      <c r="U45" s="231">
        <v>0</v>
      </c>
      <c r="V45" s="231">
        <f t="shared" si="1"/>
        <v>66738.82</v>
      </c>
      <c r="W45" s="230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</row>
    <row r="46" spans="1:65" s="232" customFormat="1" ht="12.75" hidden="1" outlineLevel="1">
      <c r="A46" s="230" t="s">
        <v>416</v>
      </c>
      <c r="B46" s="231"/>
      <c r="C46" s="231" t="s">
        <v>417</v>
      </c>
      <c r="D46" s="231" t="s">
        <v>418</v>
      </c>
      <c r="E46" s="231">
        <v>22177.41</v>
      </c>
      <c r="F46" s="231">
        <v>0</v>
      </c>
      <c r="G46" s="231"/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1">
        <v>0</v>
      </c>
      <c r="U46" s="231">
        <v>0</v>
      </c>
      <c r="V46" s="231">
        <f t="shared" si="1"/>
        <v>22177.41</v>
      </c>
      <c r="W46" s="230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</row>
    <row r="47" spans="1:65" s="232" customFormat="1" ht="12.75" hidden="1" outlineLevel="1">
      <c r="A47" s="230" t="s">
        <v>419</v>
      </c>
      <c r="B47" s="231"/>
      <c r="C47" s="231" t="s">
        <v>420</v>
      </c>
      <c r="D47" s="231" t="s">
        <v>421</v>
      </c>
      <c r="E47" s="231">
        <v>330565.29</v>
      </c>
      <c r="F47" s="231">
        <v>0</v>
      </c>
      <c r="G47" s="231"/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  <c r="T47" s="231">
        <v>0</v>
      </c>
      <c r="U47" s="231">
        <v>0</v>
      </c>
      <c r="V47" s="231">
        <f t="shared" si="1"/>
        <v>330565.29</v>
      </c>
      <c r="W47" s="230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</row>
    <row r="48" spans="1:65" s="232" customFormat="1" ht="12.75" hidden="1" outlineLevel="1">
      <c r="A48" s="230" t="s">
        <v>422</v>
      </c>
      <c r="B48" s="231"/>
      <c r="C48" s="231" t="s">
        <v>423</v>
      </c>
      <c r="D48" s="231" t="s">
        <v>424</v>
      </c>
      <c r="E48" s="231">
        <v>57424.58</v>
      </c>
      <c r="F48" s="231">
        <v>0</v>
      </c>
      <c r="G48" s="231"/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0</v>
      </c>
      <c r="T48" s="231">
        <v>0</v>
      </c>
      <c r="U48" s="231">
        <v>0</v>
      </c>
      <c r="V48" s="231">
        <f t="shared" si="1"/>
        <v>57424.58</v>
      </c>
      <c r="W48" s="230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</row>
    <row r="49" spans="1:65" s="232" customFormat="1" ht="12.75" hidden="1" outlineLevel="1">
      <c r="A49" s="230" t="s">
        <v>425</v>
      </c>
      <c r="B49" s="231"/>
      <c r="C49" s="231" t="s">
        <v>426</v>
      </c>
      <c r="D49" s="231" t="s">
        <v>427</v>
      </c>
      <c r="E49" s="231">
        <v>307360.25</v>
      </c>
      <c r="F49" s="231">
        <v>0</v>
      </c>
      <c r="G49" s="231"/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1">
        <v>0</v>
      </c>
      <c r="U49" s="231">
        <v>0</v>
      </c>
      <c r="V49" s="231">
        <f t="shared" si="1"/>
        <v>307360.25</v>
      </c>
      <c r="W49" s="230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</row>
    <row r="50" spans="1:65" s="232" customFormat="1" ht="12.75" hidden="1" outlineLevel="1">
      <c r="A50" s="230" t="s">
        <v>428</v>
      </c>
      <c r="B50" s="231"/>
      <c r="C50" s="231" t="s">
        <v>429</v>
      </c>
      <c r="D50" s="231" t="s">
        <v>430</v>
      </c>
      <c r="E50" s="231">
        <v>53356.55</v>
      </c>
      <c r="F50" s="231">
        <v>0</v>
      </c>
      <c r="G50" s="231"/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1">
        <v>0</v>
      </c>
      <c r="U50" s="231">
        <v>0</v>
      </c>
      <c r="V50" s="231">
        <f t="shared" si="1"/>
        <v>53356.55</v>
      </c>
      <c r="W50" s="230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</row>
    <row r="51" spans="1:65" s="251" customFormat="1" ht="12.75" customHeight="1" collapsed="1">
      <c r="A51" s="214" t="s">
        <v>1924</v>
      </c>
      <c r="B51" s="214"/>
      <c r="C51" s="213" t="s">
        <v>1925</v>
      </c>
      <c r="D51" s="215"/>
      <c r="E51" s="216">
        <v>65531426.48000002</v>
      </c>
      <c r="F51" s="216">
        <v>6096381.93</v>
      </c>
      <c r="G51" s="216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255">
        <v>0</v>
      </c>
      <c r="S51" s="255">
        <v>0</v>
      </c>
      <c r="T51" s="216">
        <v>0</v>
      </c>
      <c r="U51" s="216">
        <v>0</v>
      </c>
      <c r="V51" s="216">
        <f t="shared" si="1"/>
        <v>71627808.41000003</v>
      </c>
      <c r="W51" s="213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</row>
    <row r="52" spans="1:65" s="232" customFormat="1" ht="12.75" hidden="1" outlineLevel="1">
      <c r="A52" s="230" t="s">
        <v>1926</v>
      </c>
      <c r="B52" s="231"/>
      <c r="C52" s="231" t="s">
        <v>1927</v>
      </c>
      <c r="D52" s="231" t="s">
        <v>1928</v>
      </c>
      <c r="E52" s="256">
        <v>-86951.2</v>
      </c>
      <c r="F52" s="256">
        <v>0</v>
      </c>
      <c r="G52" s="256"/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  <c r="O52" s="257">
        <v>0</v>
      </c>
      <c r="P52" s="257">
        <v>0</v>
      </c>
      <c r="Q52" s="257">
        <v>0</v>
      </c>
      <c r="R52" s="257">
        <v>0</v>
      </c>
      <c r="S52" s="257">
        <v>0</v>
      </c>
      <c r="T52" s="256">
        <v>0</v>
      </c>
      <c r="U52" s="256">
        <v>0</v>
      </c>
      <c r="V52" s="256">
        <f t="shared" si="1"/>
        <v>-86951.2</v>
      </c>
      <c r="W52" s="230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</row>
    <row r="53" spans="1:65" s="232" customFormat="1" ht="12.75" hidden="1" outlineLevel="1">
      <c r="A53" s="230" t="s">
        <v>1929</v>
      </c>
      <c r="B53" s="231"/>
      <c r="C53" s="231" t="s">
        <v>1930</v>
      </c>
      <c r="D53" s="231" t="s">
        <v>1931</v>
      </c>
      <c r="E53" s="256">
        <v>1883423.69</v>
      </c>
      <c r="F53" s="256">
        <v>34052.13</v>
      </c>
      <c r="G53" s="256"/>
      <c r="H53" s="257">
        <v>0</v>
      </c>
      <c r="I53" s="257">
        <v>0</v>
      </c>
      <c r="J53" s="257">
        <v>0</v>
      </c>
      <c r="K53" s="257">
        <v>0</v>
      </c>
      <c r="L53" s="257">
        <v>0</v>
      </c>
      <c r="M53" s="257">
        <v>0</v>
      </c>
      <c r="N53" s="257">
        <v>0</v>
      </c>
      <c r="O53" s="257">
        <v>0</v>
      </c>
      <c r="P53" s="257">
        <v>0</v>
      </c>
      <c r="Q53" s="257">
        <v>0</v>
      </c>
      <c r="R53" s="257">
        <v>0</v>
      </c>
      <c r="S53" s="257">
        <v>0</v>
      </c>
      <c r="T53" s="256">
        <v>0</v>
      </c>
      <c r="U53" s="256">
        <v>0</v>
      </c>
      <c r="V53" s="256">
        <f t="shared" si="1"/>
        <v>1917475.8199999998</v>
      </c>
      <c r="W53" s="230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</row>
    <row r="54" spans="1:65" s="232" customFormat="1" ht="12.75" hidden="1" outlineLevel="1">
      <c r="A54" s="230" t="s">
        <v>1932</v>
      </c>
      <c r="B54" s="231"/>
      <c r="C54" s="231" t="s">
        <v>1933</v>
      </c>
      <c r="D54" s="231" t="s">
        <v>1934</v>
      </c>
      <c r="E54" s="256">
        <v>271536.8</v>
      </c>
      <c r="F54" s="256">
        <v>4374.08</v>
      </c>
      <c r="G54" s="256"/>
      <c r="H54" s="257">
        <v>0</v>
      </c>
      <c r="I54" s="257">
        <v>0</v>
      </c>
      <c r="J54" s="257">
        <v>0</v>
      </c>
      <c r="K54" s="257">
        <v>0</v>
      </c>
      <c r="L54" s="257">
        <v>0</v>
      </c>
      <c r="M54" s="257">
        <v>0</v>
      </c>
      <c r="N54" s="257">
        <v>0</v>
      </c>
      <c r="O54" s="257">
        <v>0</v>
      </c>
      <c r="P54" s="257">
        <v>0</v>
      </c>
      <c r="Q54" s="257">
        <v>0</v>
      </c>
      <c r="R54" s="257">
        <v>0</v>
      </c>
      <c r="S54" s="257">
        <v>0</v>
      </c>
      <c r="T54" s="256">
        <v>0</v>
      </c>
      <c r="U54" s="256">
        <v>0</v>
      </c>
      <c r="V54" s="256">
        <f t="shared" si="1"/>
        <v>275910.88</v>
      </c>
      <c r="W54" s="230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</row>
    <row r="55" spans="1:65" s="232" customFormat="1" ht="12.75" hidden="1" outlineLevel="1">
      <c r="A55" s="230" t="s">
        <v>1935</v>
      </c>
      <c r="B55" s="231"/>
      <c r="C55" s="231" t="s">
        <v>1936</v>
      </c>
      <c r="D55" s="231" t="s">
        <v>1937</v>
      </c>
      <c r="E55" s="256">
        <v>239283.52</v>
      </c>
      <c r="F55" s="256">
        <v>123582.92</v>
      </c>
      <c r="G55" s="256"/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57">
        <v>0</v>
      </c>
      <c r="O55" s="257">
        <v>0</v>
      </c>
      <c r="P55" s="257">
        <v>0</v>
      </c>
      <c r="Q55" s="257">
        <v>0</v>
      </c>
      <c r="R55" s="257">
        <v>0</v>
      </c>
      <c r="S55" s="257">
        <v>0</v>
      </c>
      <c r="T55" s="256">
        <v>0</v>
      </c>
      <c r="U55" s="256">
        <v>0</v>
      </c>
      <c r="V55" s="256">
        <f t="shared" si="1"/>
        <v>362866.44</v>
      </c>
      <c r="W55" s="230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</row>
    <row r="56" spans="1:65" s="232" customFormat="1" ht="12.75" hidden="1" outlineLevel="1">
      <c r="A56" s="230" t="s">
        <v>1938</v>
      </c>
      <c r="B56" s="231"/>
      <c r="C56" s="231" t="s">
        <v>1939</v>
      </c>
      <c r="D56" s="231" t="s">
        <v>1940</v>
      </c>
      <c r="E56" s="256">
        <v>1096100.72</v>
      </c>
      <c r="F56" s="256">
        <v>46354.18</v>
      </c>
      <c r="G56" s="256"/>
      <c r="H56" s="257">
        <v>0</v>
      </c>
      <c r="I56" s="257">
        <v>0</v>
      </c>
      <c r="J56" s="257">
        <v>0</v>
      </c>
      <c r="K56" s="257">
        <v>0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  <c r="Q56" s="257">
        <v>0</v>
      </c>
      <c r="R56" s="257">
        <v>0</v>
      </c>
      <c r="S56" s="257">
        <v>0</v>
      </c>
      <c r="T56" s="256">
        <v>0</v>
      </c>
      <c r="U56" s="256">
        <v>0</v>
      </c>
      <c r="V56" s="256">
        <f t="shared" si="1"/>
        <v>1142454.9</v>
      </c>
      <c r="W56" s="230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</row>
    <row r="57" spans="1:65" s="232" customFormat="1" ht="12.75" hidden="1" outlineLevel="1">
      <c r="A57" s="230" t="s">
        <v>1941</v>
      </c>
      <c r="B57" s="231"/>
      <c r="C57" s="231" t="s">
        <v>1942</v>
      </c>
      <c r="D57" s="231" t="s">
        <v>1943</v>
      </c>
      <c r="E57" s="256">
        <v>363054</v>
      </c>
      <c r="F57" s="256">
        <v>232.4</v>
      </c>
      <c r="G57" s="256"/>
      <c r="H57" s="257">
        <v>0</v>
      </c>
      <c r="I57" s="257">
        <v>0</v>
      </c>
      <c r="J57" s="257">
        <v>0</v>
      </c>
      <c r="K57" s="257">
        <v>0</v>
      </c>
      <c r="L57" s="257">
        <v>0</v>
      </c>
      <c r="M57" s="257">
        <v>0</v>
      </c>
      <c r="N57" s="257">
        <v>0</v>
      </c>
      <c r="O57" s="257">
        <v>0</v>
      </c>
      <c r="P57" s="257">
        <v>0</v>
      </c>
      <c r="Q57" s="257">
        <v>0</v>
      </c>
      <c r="R57" s="257">
        <v>0</v>
      </c>
      <c r="S57" s="257">
        <v>0</v>
      </c>
      <c r="T57" s="256">
        <v>0</v>
      </c>
      <c r="U57" s="256">
        <v>0</v>
      </c>
      <c r="V57" s="256">
        <f t="shared" si="1"/>
        <v>363286.4</v>
      </c>
      <c r="W57" s="230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</row>
    <row r="58" spans="1:65" s="232" customFormat="1" ht="12.75" hidden="1" outlineLevel="1">
      <c r="A58" s="230" t="s">
        <v>1944</v>
      </c>
      <c r="B58" s="231"/>
      <c r="C58" s="231" t="s">
        <v>1945</v>
      </c>
      <c r="D58" s="231" t="s">
        <v>1946</v>
      </c>
      <c r="E58" s="256">
        <v>954244.8</v>
      </c>
      <c r="F58" s="256">
        <v>298.6</v>
      </c>
      <c r="G58" s="256"/>
      <c r="H58" s="257">
        <v>0</v>
      </c>
      <c r="I58" s="257">
        <v>0</v>
      </c>
      <c r="J58" s="257">
        <v>0</v>
      </c>
      <c r="K58" s="257">
        <v>0</v>
      </c>
      <c r="L58" s="257">
        <v>0</v>
      </c>
      <c r="M58" s="257">
        <v>0</v>
      </c>
      <c r="N58" s="257">
        <v>0</v>
      </c>
      <c r="O58" s="257">
        <v>0</v>
      </c>
      <c r="P58" s="257">
        <v>0</v>
      </c>
      <c r="Q58" s="257">
        <v>0</v>
      </c>
      <c r="R58" s="257">
        <v>0</v>
      </c>
      <c r="S58" s="257">
        <v>0</v>
      </c>
      <c r="T58" s="256">
        <v>0</v>
      </c>
      <c r="U58" s="256">
        <v>0</v>
      </c>
      <c r="V58" s="256">
        <f t="shared" si="1"/>
        <v>954543.4</v>
      </c>
      <c r="W58" s="230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</row>
    <row r="59" spans="1:65" s="232" customFormat="1" ht="12.75" hidden="1" outlineLevel="1">
      <c r="A59" s="230" t="s">
        <v>1947</v>
      </c>
      <c r="B59" s="231"/>
      <c r="C59" s="231" t="s">
        <v>1948</v>
      </c>
      <c r="D59" s="231" t="s">
        <v>1949</v>
      </c>
      <c r="E59" s="256">
        <v>-12035.73</v>
      </c>
      <c r="F59" s="256">
        <v>249</v>
      </c>
      <c r="G59" s="256"/>
      <c r="H59" s="257">
        <v>0</v>
      </c>
      <c r="I59" s="257">
        <v>0</v>
      </c>
      <c r="J59" s="257">
        <v>0</v>
      </c>
      <c r="K59" s="257">
        <v>0</v>
      </c>
      <c r="L59" s="257">
        <v>0</v>
      </c>
      <c r="M59" s="257">
        <v>0</v>
      </c>
      <c r="N59" s="257">
        <v>0</v>
      </c>
      <c r="O59" s="257">
        <v>0</v>
      </c>
      <c r="P59" s="257">
        <v>0</v>
      </c>
      <c r="Q59" s="257">
        <v>0</v>
      </c>
      <c r="R59" s="257">
        <v>0</v>
      </c>
      <c r="S59" s="257">
        <v>0</v>
      </c>
      <c r="T59" s="256">
        <v>0</v>
      </c>
      <c r="U59" s="256">
        <v>0</v>
      </c>
      <c r="V59" s="256">
        <f t="shared" si="1"/>
        <v>-11786.73</v>
      </c>
      <c r="W59" s="230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</row>
    <row r="60" spans="1:65" s="232" customFormat="1" ht="12.75" hidden="1" outlineLevel="1">
      <c r="A60" s="230" t="s">
        <v>1950</v>
      </c>
      <c r="B60" s="231"/>
      <c r="C60" s="231" t="s">
        <v>1951</v>
      </c>
      <c r="D60" s="231" t="s">
        <v>1952</v>
      </c>
      <c r="E60" s="256">
        <v>2000084.35</v>
      </c>
      <c r="F60" s="256">
        <v>0</v>
      </c>
      <c r="G60" s="256"/>
      <c r="H60" s="257">
        <v>0</v>
      </c>
      <c r="I60" s="257">
        <v>0</v>
      </c>
      <c r="J60" s="257">
        <v>0</v>
      </c>
      <c r="K60" s="257">
        <v>0</v>
      </c>
      <c r="L60" s="257">
        <v>0</v>
      </c>
      <c r="M60" s="257">
        <v>0</v>
      </c>
      <c r="N60" s="257">
        <v>0</v>
      </c>
      <c r="O60" s="257">
        <v>0</v>
      </c>
      <c r="P60" s="257">
        <v>0</v>
      </c>
      <c r="Q60" s="257">
        <v>0</v>
      </c>
      <c r="R60" s="257">
        <v>0</v>
      </c>
      <c r="S60" s="257">
        <v>0</v>
      </c>
      <c r="T60" s="256">
        <v>0</v>
      </c>
      <c r="U60" s="256">
        <v>0</v>
      </c>
      <c r="V60" s="256">
        <f t="shared" si="1"/>
        <v>2000084.35</v>
      </c>
      <c r="W60" s="230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</row>
    <row r="61" spans="1:65" s="232" customFormat="1" ht="12.75" hidden="1" outlineLevel="1">
      <c r="A61" s="230" t="s">
        <v>1953</v>
      </c>
      <c r="B61" s="231"/>
      <c r="C61" s="231" t="s">
        <v>1954</v>
      </c>
      <c r="D61" s="231" t="s">
        <v>1955</v>
      </c>
      <c r="E61" s="256">
        <v>470332.19</v>
      </c>
      <c r="F61" s="256">
        <v>0</v>
      </c>
      <c r="G61" s="256"/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56">
        <v>0</v>
      </c>
      <c r="U61" s="256">
        <v>0</v>
      </c>
      <c r="V61" s="256">
        <f t="shared" si="1"/>
        <v>470332.19</v>
      </c>
      <c r="W61" s="230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</row>
    <row r="62" spans="1:65" s="232" customFormat="1" ht="12.75" hidden="1" outlineLevel="1">
      <c r="A62" s="230" t="s">
        <v>1956</v>
      </c>
      <c r="B62" s="231"/>
      <c r="C62" s="231" t="s">
        <v>1957</v>
      </c>
      <c r="D62" s="231" t="s">
        <v>1958</v>
      </c>
      <c r="E62" s="256">
        <v>2093718.6</v>
      </c>
      <c r="F62" s="256">
        <v>0</v>
      </c>
      <c r="G62" s="256"/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</v>
      </c>
      <c r="T62" s="256">
        <v>0</v>
      </c>
      <c r="U62" s="256">
        <v>0</v>
      </c>
      <c r="V62" s="256">
        <f t="shared" si="1"/>
        <v>2093718.6</v>
      </c>
      <c r="W62" s="230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</row>
    <row r="63" spans="1:65" s="232" customFormat="1" ht="12.75" hidden="1" outlineLevel="1">
      <c r="A63" s="230" t="s">
        <v>431</v>
      </c>
      <c r="B63" s="231"/>
      <c r="C63" s="231" t="s">
        <v>432</v>
      </c>
      <c r="D63" s="231" t="s">
        <v>433</v>
      </c>
      <c r="E63" s="256">
        <v>-3836000</v>
      </c>
      <c r="F63" s="256">
        <v>0</v>
      </c>
      <c r="G63" s="256"/>
      <c r="H63" s="257">
        <v>0</v>
      </c>
      <c r="I63" s="257">
        <v>0</v>
      </c>
      <c r="J63" s="257">
        <v>0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</v>
      </c>
      <c r="T63" s="256">
        <v>0</v>
      </c>
      <c r="U63" s="256">
        <v>0</v>
      </c>
      <c r="V63" s="256">
        <f t="shared" si="1"/>
        <v>-3836000</v>
      </c>
      <c r="W63" s="230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</row>
    <row r="64" spans="1:65" s="251" customFormat="1" ht="12.75" customHeight="1" collapsed="1">
      <c r="A64" s="214" t="s">
        <v>1959</v>
      </c>
      <c r="B64" s="214"/>
      <c r="C64" s="213" t="s">
        <v>1544</v>
      </c>
      <c r="D64" s="215"/>
      <c r="E64" s="102">
        <v>5436791.74</v>
      </c>
      <c r="F64" s="102">
        <v>209143.31</v>
      </c>
      <c r="G64" s="102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2">
        <v>0</v>
      </c>
      <c r="U64" s="102">
        <v>0</v>
      </c>
      <c r="V64" s="102">
        <f t="shared" si="1"/>
        <v>5645935.05</v>
      </c>
      <c r="W64" s="213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</row>
    <row r="65" spans="1:65" s="251" customFormat="1" ht="12.75" customHeight="1">
      <c r="A65" s="252" t="s">
        <v>1488</v>
      </c>
      <c r="B65" s="214"/>
      <c r="C65" s="213" t="s">
        <v>1960</v>
      </c>
      <c r="D65" s="215"/>
      <c r="E65" s="102">
        <f aca="true" t="shared" si="2" ref="E65:V65">E51-E64</f>
        <v>60094634.74000002</v>
      </c>
      <c r="F65" s="102">
        <f t="shared" si="2"/>
        <v>5887238.62</v>
      </c>
      <c r="G65" s="102">
        <f t="shared" si="2"/>
        <v>0</v>
      </c>
      <c r="H65" s="258">
        <f t="shared" si="2"/>
        <v>0</v>
      </c>
      <c r="I65" s="258">
        <f t="shared" si="2"/>
        <v>0</v>
      </c>
      <c r="J65" s="258">
        <f t="shared" si="2"/>
        <v>0</v>
      </c>
      <c r="K65" s="258">
        <f t="shared" si="2"/>
        <v>0</v>
      </c>
      <c r="L65" s="258">
        <f t="shared" si="2"/>
        <v>0</v>
      </c>
      <c r="M65" s="258">
        <f t="shared" si="2"/>
        <v>0</v>
      </c>
      <c r="N65" s="258">
        <f t="shared" si="2"/>
        <v>0</v>
      </c>
      <c r="O65" s="258">
        <f t="shared" si="2"/>
        <v>0</v>
      </c>
      <c r="P65" s="258">
        <f t="shared" si="2"/>
        <v>0</v>
      </c>
      <c r="Q65" s="258">
        <f t="shared" si="2"/>
        <v>0</v>
      </c>
      <c r="R65" s="258">
        <f t="shared" si="2"/>
        <v>0</v>
      </c>
      <c r="S65" s="258">
        <f t="shared" si="2"/>
        <v>0</v>
      </c>
      <c r="T65" s="102">
        <f t="shared" si="2"/>
        <v>0</v>
      </c>
      <c r="U65" s="102">
        <f t="shared" si="2"/>
        <v>0</v>
      </c>
      <c r="V65" s="102">
        <f t="shared" si="2"/>
        <v>65981873.36000003</v>
      </c>
      <c r="W65" s="253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</row>
    <row r="66" spans="1:65" s="251" customFormat="1" ht="12.75" customHeight="1">
      <c r="A66" s="214"/>
      <c r="B66" s="214"/>
      <c r="C66" s="213"/>
      <c r="D66" s="215"/>
      <c r="E66" s="102"/>
      <c r="F66" s="102"/>
      <c r="G66" s="102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2"/>
      <c r="V66" s="102"/>
      <c r="W66" s="213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</row>
    <row r="67" spans="1:65" s="251" customFormat="1" ht="12.75" customHeight="1">
      <c r="A67" s="214" t="s">
        <v>434</v>
      </c>
      <c r="B67" s="214"/>
      <c r="C67" s="213" t="s">
        <v>1546</v>
      </c>
      <c r="D67" s="215"/>
      <c r="E67" s="102">
        <v>0</v>
      </c>
      <c r="F67" s="102">
        <v>0</v>
      </c>
      <c r="G67" s="102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2">
        <v>0</v>
      </c>
      <c r="U67" s="102">
        <v>0</v>
      </c>
      <c r="V67" s="102">
        <f aca="true" t="shared" si="3" ref="V67:V77">E67+F67+G67+T67+U67</f>
        <v>0</v>
      </c>
      <c r="W67" s="213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</row>
    <row r="68" spans="1:65" s="251" customFormat="1" ht="12.75" customHeight="1">
      <c r="A68" s="214" t="s">
        <v>435</v>
      </c>
      <c r="B68" s="214"/>
      <c r="C68" s="213" t="s">
        <v>1547</v>
      </c>
      <c r="D68" s="215"/>
      <c r="E68" s="102">
        <v>0</v>
      </c>
      <c r="F68" s="102">
        <v>0</v>
      </c>
      <c r="G68" s="102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2">
        <v>0</v>
      </c>
      <c r="U68" s="102">
        <v>0</v>
      </c>
      <c r="V68" s="102">
        <f t="shared" si="3"/>
        <v>0</v>
      </c>
      <c r="W68" s="213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</row>
    <row r="69" spans="1:65" s="251" customFormat="1" ht="12.75" customHeight="1">
      <c r="A69" s="214" t="s">
        <v>436</v>
      </c>
      <c r="B69" s="214"/>
      <c r="C69" s="213" t="s">
        <v>1548</v>
      </c>
      <c r="D69" s="215"/>
      <c r="E69" s="102">
        <v>0</v>
      </c>
      <c r="F69" s="102">
        <v>0</v>
      </c>
      <c r="G69" s="102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2">
        <v>0</v>
      </c>
      <c r="U69" s="102">
        <v>0</v>
      </c>
      <c r="V69" s="102">
        <f t="shared" si="3"/>
        <v>0</v>
      </c>
      <c r="W69" s="213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</row>
    <row r="70" spans="1:65" s="232" customFormat="1" ht="12.75" hidden="1" outlineLevel="1">
      <c r="A70" s="230" t="s">
        <v>437</v>
      </c>
      <c r="B70" s="231"/>
      <c r="C70" s="231" t="s">
        <v>438</v>
      </c>
      <c r="D70" s="231" t="s">
        <v>439</v>
      </c>
      <c r="E70" s="256">
        <v>528</v>
      </c>
      <c r="F70" s="256">
        <v>0</v>
      </c>
      <c r="G70" s="256"/>
      <c r="H70" s="257">
        <v>0</v>
      </c>
      <c r="I70" s="257">
        <v>0</v>
      </c>
      <c r="J70" s="257">
        <v>0</v>
      </c>
      <c r="K70" s="257">
        <v>0</v>
      </c>
      <c r="L70" s="257">
        <v>0</v>
      </c>
      <c r="M70" s="257">
        <v>0</v>
      </c>
      <c r="N70" s="257">
        <v>0</v>
      </c>
      <c r="O70" s="257">
        <v>0</v>
      </c>
      <c r="P70" s="257">
        <v>0</v>
      </c>
      <c r="Q70" s="257">
        <v>0</v>
      </c>
      <c r="R70" s="257">
        <v>0</v>
      </c>
      <c r="S70" s="257">
        <v>0</v>
      </c>
      <c r="T70" s="256">
        <v>0</v>
      </c>
      <c r="U70" s="256">
        <v>0</v>
      </c>
      <c r="V70" s="256">
        <f t="shared" si="3"/>
        <v>528</v>
      </c>
      <c r="W70" s="230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</row>
    <row r="71" spans="1:65" s="232" customFormat="1" ht="12.75" hidden="1" outlineLevel="1">
      <c r="A71" s="230" t="s">
        <v>440</v>
      </c>
      <c r="B71" s="231"/>
      <c r="C71" s="231" t="s">
        <v>441</v>
      </c>
      <c r="D71" s="231" t="s">
        <v>442</v>
      </c>
      <c r="E71" s="256">
        <v>26.4</v>
      </c>
      <c r="F71" s="256">
        <v>10462.8</v>
      </c>
      <c r="G71" s="256"/>
      <c r="H71" s="257">
        <v>0</v>
      </c>
      <c r="I71" s="257">
        <v>0</v>
      </c>
      <c r="J71" s="257">
        <v>0</v>
      </c>
      <c r="K71" s="257">
        <v>0</v>
      </c>
      <c r="L71" s="257">
        <v>0</v>
      </c>
      <c r="M71" s="257">
        <v>0</v>
      </c>
      <c r="N71" s="257">
        <v>0</v>
      </c>
      <c r="O71" s="257">
        <v>0</v>
      </c>
      <c r="P71" s="257">
        <v>0</v>
      </c>
      <c r="Q71" s="257">
        <v>0</v>
      </c>
      <c r="R71" s="257">
        <v>0</v>
      </c>
      <c r="S71" s="257">
        <v>0</v>
      </c>
      <c r="T71" s="256">
        <v>0</v>
      </c>
      <c r="U71" s="256">
        <v>0</v>
      </c>
      <c r="V71" s="256">
        <f t="shared" si="3"/>
        <v>10489.199999999999</v>
      </c>
      <c r="W71" s="230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</row>
    <row r="72" spans="1:65" s="232" customFormat="1" ht="12.75" hidden="1" outlineLevel="1">
      <c r="A72" s="230" t="s">
        <v>443</v>
      </c>
      <c r="B72" s="231"/>
      <c r="C72" s="231" t="s">
        <v>444</v>
      </c>
      <c r="D72" s="231" t="s">
        <v>445</v>
      </c>
      <c r="E72" s="256">
        <v>0</v>
      </c>
      <c r="F72" s="256">
        <v>1481.14</v>
      </c>
      <c r="G72" s="256"/>
      <c r="H72" s="257">
        <v>0</v>
      </c>
      <c r="I72" s="257">
        <v>0</v>
      </c>
      <c r="J72" s="257">
        <v>0</v>
      </c>
      <c r="K72" s="257">
        <v>0</v>
      </c>
      <c r="L72" s="257">
        <v>0</v>
      </c>
      <c r="M72" s="257">
        <v>0</v>
      </c>
      <c r="N72" s="257">
        <v>0</v>
      </c>
      <c r="O72" s="257">
        <v>0</v>
      </c>
      <c r="P72" s="257">
        <v>0</v>
      </c>
      <c r="Q72" s="257">
        <v>0</v>
      </c>
      <c r="R72" s="257">
        <v>0</v>
      </c>
      <c r="S72" s="257">
        <v>0</v>
      </c>
      <c r="T72" s="256">
        <v>0</v>
      </c>
      <c r="U72" s="256">
        <v>0</v>
      </c>
      <c r="V72" s="256">
        <f t="shared" si="3"/>
        <v>1481.14</v>
      </c>
      <c r="W72" s="230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</row>
    <row r="73" spans="1:65" s="232" customFormat="1" ht="12.75" hidden="1" outlineLevel="1">
      <c r="A73" s="230" t="s">
        <v>446</v>
      </c>
      <c r="B73" s="231"/>
      <c r="C73" s="231" t="s">
        <v>447</v>
      </c>
      <c r="D73" s="231" t="s">
        <v>448</v>
      </c>
      <c r="E73" s="256">
        <v>0</v>
      </c>
      <c r="F73" s="256">
        <v>2085.83</v>
      </c>
      <c r="G73" s="256"/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0</v>
      </c>
      <c r="N73" s="257">
        <v>0</v>
      </c>
      <c r="O73" s="257">
        <v>0</v>
      </c>
      <c r="P73" s="257">
        <v>0</v>
      </c>
      <c r="Q73" s="257">
        <v>0</v>
      </c>
      <c r="R73" s="257">
        <v>0</v>
      </c>
      <c r="S73" s="257">
        <v>0</v>
      </c>
      <c r="T73" s="256">
        <v>0</v>
      </c>
      <c r="U73" s="256">
        <v>0</v>
      </c>
      <c r="V73" s="256">
        <f t="shared" si="3"/>
        <v>2085.83</v>
      </c>
      <c r="W73" s="230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</row>
    <row r="74" spans="1:65" s="232" customFormat="1" ht="12.75" hidden="1" outlineLevel="1">
      <c r="A74" s="230" t="s">
        <v>449</v>
      </c>
      <c r="B74" s="231"/>
      <c r="C74" s="231" t="s">
        <v>450</v>
      </c>
      <c r="D74" s="231" t="s">
        <v>451</v>
      </c>
      <c r="E74" s="256">
        <v>0</v>
      </c>
      <c r="F74" s="256">
        <v>9072.97</v>
      </c>
      <c r="G74" s="256"/>
      <c r="H74" s="257">
        <v>0</v>
      </c>
      <c r="I74" s="257">
        <v>0</v>
      </c>
      <c r="J74" s="257">
        <v>0</v>
      </c>
      <c r="K74" s="257">
        <v>0</v>
      </c>
      <c r="L74" s="257">
        <v>0</v>
      </c>
      <c r="M74" s="257">
        <v>0</v>
      </c>
      <c r="N74" s="257">
        <v>0</v>
      </c>
      <c r="O74" s="257">
        <v>0</v>
      </c>
      <c r="P74" s="257">
        <v>0</v>
      </c>
      <c r="Q74" s="257">
        <v>0</v>
      </c>
      <c r="R74" s="257">
        <v>0</v>
      </c>
      <c r="S74" s="257">
        <v>0</v>
      </c>
      <c r="T74" s="256">
        <v>0</v>
      </c>
      <c r="U74" s="256">
        <v>0</v>
      </c>
      <c r="V74" s="256">
        <f t="shared" si="3"/>
        <v>9072.97</v>
      </c>
      <c r="W74" s="230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</row>
    <row r="75" spans="1:65" s="232" customFormat="1" ht="12.75" hidden="1" outlineLevel="1">
      <c r="A75" s="230" t="s">
        <v>452</v>
      </c>
      <c r="B75" s="231"/>
      <c r="C75" s="231" t="s">
        <v>453</v>
      </c>
      <c r="D75" s="231" t="s">
        <v>454</v>
      </c>
      <c r="E75" s="256">
        <v>654665.31</v>
      </c>
      <c r="F75" s="256">
        <v>30843.85</v>
      </c>
      <c r="G75" s="256"/>
      <c r="H75" s="257">
        <v>0</v>
      </c>
      <c r="I75" s="257">
        <v>1100.08</v>
      </c>
      <c r="J75" s="257">
        <v>0</v>
      </c>
      <c r="K75" s="257">
        <v>0</v>
      </c>
      <c r="L75" s="257">
        <v>26220.04</v>
      </c>
      <c r="M75" s="257">
        <v>0</v>
      </c>
      <c r="N75" s="257">
        <v>0</v>
      </c>
      <c r="O75" s="257">
        <v>0</v>
      </c>
      <c r="P75" s="257">
        <v>0</v>
      </c>
      <c r="Q75" s="257">
        <v>0</v>
      </c>
      <c r="R75" s="257">
        <v>0</v>
      </c>
      <c r="S75" s="257">
        <v>0</v>
      </c>
      <c r="T75" s="256">
        <v>27320.12</v>
      </c>
      <c r="U75" s="256">
        <v>0</v>
      </c>
      <c r="V75" s="256">
        <f t="shared" si="3"/>
        <v>712829.28</v>
      </c>
      <c r="W75" s="230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</row>
    <row r="76" spans="1:65" s="232" customFormat="1" ht="12.75" hidden="1" outlineLevel="1">
      <c r="A76" s="230" t="s">
        <v>455</v>
      </c>
      <c r="B76" s="231"/>
      <c r="C76" s="231" t="s">
        <v>456</v>
      </c>
      <c r="D76" s="231" t="s">
        <v>457</v>
      </c>
      <c r="E76" s="256">
        <v>147.84</v>
      </c>
      <c r="F76" s="256">
        <v>0</v>
      </c>
      <c r="G76" s="256"/>
      <c r="H76" s="257">
        <v>0</v>
      </c>
      <c r="I76" s="257">
        <v>0</v>
      </c>
      <c r="J76" s="257">
        <v>0</v>
      </c>
      <c r="K76" s="257">
        <v>0</v>
      </c>
      <c r="L76" s="257">
        <v>0</v>
      </c>
      <c r="M76" s="257">
        <v>0</v>
      </c>
      <c r="N76" s="257">
        <v>0</v>
      </c>
      <c r="O76" s="257">
        <v>0</v>
      </c>
      <c r="P76" s="257">
        <v>0</v>
      </c>
      <c r="Q76" s="257">
        <v>0</v>
      </c>
      <c r="R76" s="257">
        <v>0</v>
      </c>
      <c r="S76" s="257">
        <v>0</v>
      </c>
      <c r="T76" s="256">
        <v>0</v>
      </c>
      <c r="U76" s="256">
        <v>0</v>
      </c>
      <c r="V76" s="256">
        <f t="shared" si="3"/>
        <v>147.84</v>
      </c>
      <c r="W76" s="230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</row>
    <row r="77" spans="1:65" s="251" customFormat="1" ht="12.75" customHeight="1" collapsed="1">
      <c r="A77" s="214" t="s">
        <v>1964</v>
      </c>
      <c r="B77" s="214"/>
      <c r="C77" s="213" t="s">
        <v>1965</v>
      </c>
      <c r="D77" s="215"/>
      <c r="E77" s="102">
        <v>655367.55</v>
      </c>
      <c r="F77" s="102">
        <v>53946.59</v>
      </c>
      <c r="G77" s="102">
        <v>0</v>
      </c>
      <c r="H77" s="101">
        <v>0</v>
      </c>
      <c r="I77" s="101">
        <v>1100.08</v>
      </c>
      <c r="J77" s="101">
        <v>0</v>
      </c>
      <c r="K77" s="101">
        <v>0</v>
      </c>
      <c r="L77" s="101">
        <v>26220.04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2">
        <v>27320.12</v>
      </c>
      <c r="U77" s="102">
        <v>0</v>
      </c>
      <c r="V77" s="102">
        <f t="shared" si="3"/>
        <v>736634.26</v>
      </c>
      <c r="W77" s="213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</row>
    <row r="78" spans="1:65" s="251" customFormat="1" ht="12.75" customHeight="1">
      <c r="A78" s="214"/>
      <c r="B78" s="214"/>
      <c r="C78" s="213" t="s">
        <v>1966</v>
      </c>
      <c r="D78" s="215"/>
      <c r="E78" s="102"/>
      <c r="F78" s="102"/>
      <c r="G78" s="102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2"/>
      <c r="U78" s="102"/>
      <c r="V78" s="102"/>
      <c r="W78" s="213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</row>
    <row r="79" spans="1:65" s="251" customFormat="1" ht="12.75" customHeight="1">
      <c r="A79" s="214"/>
      <c r="B79" s="214"/>
      <c r="C79" s="213" t="s">
        <v>458</v>
      </c>
      <c r="D79" s="215"/>
      <c r="E79" s="102">
        <v>0</v>
      </c>
      <c r="F79" s="102">
        <v>0</v>
      </c>
      <c r="G79" s="102">
        <v>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2">
        <v>0</v>
      </c>
      <c r="U79" s="102">
        <v>0</v>
      </c>
      <c r="V79" s="102">
        <f aca="true" t="shared" si="4" ref="V79:V99">E79+F79+G79+T79+U79</f>
        <v>0</v>
      </c>
      <c r="W79" s="213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</row>
    <row r="80" spans="1:65" s="251" customFormat="1" ht="12.75" customHeight="1">
      <c r="A80" s="214"/>
      <c r="B80" s="214"/>
      <c r="C80" s="213" t="s">
        <v>1551</v>
      </c>
      <c r="D80" s="215"/>
      <c r="E80" s="102">
        <v>0</v>
      </c>
      <c r="F80" s="102">
        <v>0</v>
      </c>
      <c r="G80" s="102">
        <v>2521380.59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2">
        <v>0</v>
      </c>
      <c r="U80" s="102">
        <v>0</v>
      </c>
      <c r="V80" s="102">
        <f t="shared" si="4"/>
        <v>2521380.59</v>
      </c>
      <c r="W80" s="213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</row>
    <row r="81" spans="1:65" s="251" customFormat="1" ht="12.75" customHeight="1">
      <c r="A81" s="214"/>
      <c r="B81" s="214"/>
      <c r="C81" s="213" t="s">
        <v>1552</v>
      </c>
      <c r="D81" s="215"/>
      <c r="E81" s="102">
        <v>0</v>
      </c>
      <c r="F81" s="102">
        <v>0</v>
      </c>
      <c r="G81" s="102">
        <v>6951789.62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2">
        <v>0</v>
      </c>
      <c r="U81" s="102">
        <v>0</v>
      </c>
      <c r="V81" s="102">
        <f t="shared" si="4"/>
        <v>6951789.62</v>
      </c>
      <c r="W81" s="213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</row>
    <row r="82" spans="1:65" s="251" customFormat="1" ht="12.75" customHeight="1">
      <c r="A82" s="214" t="s">
        <v>1968</v>
      </c>
      <c r="B82" s="214"/>
      <c r="C82" s="213" t="s">
        <v>1969</v>
      </c>
      <c r="D82" s="215"/>
      <c r="E82" s="102">
        <v>0</v>
      </c>
      <c r="F82" s="102">
        <v>0</v>
      </c>
      <c r="G82" s="102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2">
        <v>0</v>
      </c>
      <c r="U82" s="102">
        <v>0</v>
      </c>
      <c r="V82" s="102">
        <f t="shared" si="4"/>
        <v>0</v>
      </c>
      <c r="W82" s="213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250"/>
      <c r="BJ82" s="250"/>
      <c r="BK82" s="250"/>
      <c r="BL82" s="250"/>
      <c r="BM82" s="250"/>
    </row>
    <row r="83" spans="1:65" s="251" customFormat="1" ht="12.75" customHeight="1">
      <c r="A83" s="214"/>
      <c r="B83" s="214"/>
      <c r="C83" s="213" t="s">
        <v>1553</v>
      </c>
      <c r="D83" s="215"/>
      <c r="E83" s="102">
        <v>0</v>
      </c>
      <c r="F83" s="102">
        <v>0</v>
      </c>
      <c r="G83" s="102">
        <v>13716078.62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2">
        <v>0</v>
      </c>
      <c r="U83" s="102">
        <v>0</v>
      </c>
      <c r="V83" s="102">
        <f t="shared" si="4"/>
        <v>13716078.62</v>
      </c>
      <c r="W83" s="213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</row>
    <row r="84" spans="1:65" s="251" customFormat="1" ht="12.75" customHeight="1">
      <c r="A84" s="214" t="s">
        <v>2016</v>
      </c>
      <c r="B84" s="214"/>
      <c r="C84" s="213" t="s">
        <v>1554</v>
      </c>
      <c r="D84" s="215"/>
      <c r="E84" s="102">
        <v>0</v>
      </c>
      <c r="F84" s="102">
        <v>0</v>
      </c>
      <c r="G84" s="102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2">
        <v>0</v>
      </c>
      <c r="U84" s="102">
        <v>0</v>
      </c>
      <c r="V84" s="102">
        <f t="shared" si="4"/>
        <v>0</v>
      </c>
      <c r="W84" s="213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250"/>
      <c r="BL84" s="250"/>
      <c r="BM84" s="250"/>
    </row>
    <row r="85" spans="1:65" s="232" customFormat="1" ht="12.75" hidden="1" outlineLevel="1">
      <c r="A85" s="230" t="s">
        <v>2017</v>
      </c>
      <c r="B85" s="231"/>
      <c r="C85" s="231" t="s">
        <v>2018</v>
      </c>
      <c r="D85" s="231" t="s">
        <v>2019</v>
      </c>
      <c r="E85" s="256">
        <v>116800.26</v>
      </c>
      <c r="F85" s="256">
        <v>31642.5</v>
      </c>
      <c r="G85" s="256"/>
      <c r="H85" s="257">
        <v>0</v>
      </c>
      <c r="I85" s="257">
        <v>0</v>
      </c>
      <c r="J85" s="257">
        <v>0</v>
      </c>
      <c r="K85" s="257">
        <v>0</v>
      </c>
      <c r="L85" s="257">
        <v>0</v>
      </c>
      <c r="M85" s="257">
        <v>0</v>
      </c>
      <c r="N85" s="257">
        <v>0</v>
      </c>
      <c r="O85" s="257">
        <v>0</v>
      </c>
      <c r="P85" s="257">
        <v>0</v>
      </c>
      <c r="Q85" s="257">
        <v>0</v>
      </c>
      <c r="R85" s="257">
        <v>0</v>
      </c>
      <c r="S85" s="257">
        <v>0</v>
      </c>
      <c r="T85" s="256">
        <v>0</v>
      </c>
      <c r="U85" s="256">
        <v>0</v>
      </c>
      <c r="V85" s="256">
        <f t="shared" si="4"/>
        <v>148442.76</v>
      </c>
      <c r="W85" s="230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</row>
    <row r="86" spans="1:65" s="232" customFormat="1" ht="12.75" hidden="1" outlineLevel="1">
      <c r="A86" s="230" t="s">
        <v>2020</v>
      </c>
      <c r="B86" s="231"/>
      <c r="C86" s="231" t="s">
        <v>2021</v>
      </c>
      <c r="D86" s="231" t="s">
        <v>2022</v>
      </c>
      <c r="E86" s="256">
        <v>2777.39</v>
      </c>
      <c r="F86" s="256">
        <v>1483.38</v>
      </c>
      <c r="G86" s="256"/>
      <c r="H86" s="257">
        <v>0</v>
      </c>
      <c r="I86" s="257">
        <v>0</v>
      </c>
      <c r="J86" s="257">
        <v>0</v>
      </c>
      <c r="K86" s="257">
        <v>-47.91</v>
      </c>
      <c r="L86" s="257">
        <v>0</v>
      </c>
      <c r="M86" s="257">
        <v>0</v>
      </c>
      <c r="N86" s="257">
        <v>0</v>
      </c>
      <c r="O86" s="257">
        <v>0</v>
      </c>
      <c r="P86" s="257">
        <v>23402.68</v>
      </c>
      <c r="Q86" s="257">
        <v>0</v>
      </c>
      <c r="R86" s="257">
        <v>-21.38</v>
      </c>
      <c r="S86" s="257">
        <v>20.93</v>
      </c>
      <c r="T86" s="256">
        <v>23354.32</v>
      </c>
      <c r="U86" s="256">
        <v>0</v>
      </c>
      <c r="V86" s="256">
        <f t="shared" si="4"/>
        <v>27615.09</v>
      </c>
      <c r="W86" s="230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</row>
    <row r="87" spans="1:65" s="232" customFormat="1" ht="12.75" hidden="1" outlineLevel="1">
      <c r="A87" s="230" t="s">
        <v>459</v>
      </c>
      <c r="B87" s="231"/>
      <c r="C87" s="231" t="s">
        <v>460</v>
      </c>
      <c r="D87" s="231" t="s">
        <v>461</v>
      </c>
      <c r="E87" s="256">
        <v>865.05</v>
      </c>
      <c r="F87" s="256">
        <v>0</v>
      </c>
      <c r="G87" s="256"/>
      <c r="H87" s="257">
        <v>0</v>
      </c>
      <c r="I87" s="257">
        <v>0</v>
      </c>
      <c r="J87" s="257">
        <v>0</v>
      </c>
      <c r="K87" s="257">
        <v>0</v>
      </c>
      <c r="L87" s="257">
        <v>0</v>
      </c>
      <c r="M87" s="257">
        <v>0</v>
      </c>
      <c r="N87" s="257">
        <v>0</v>
      </c>
      <c r="O87" s="257">
        <v>0</v>
      </c>
      <c r="P87" s="257">
        <v>0</v>
      </c>
      <c r="Q87" s="257">
        <v>0</v>
      </c>
      <c r="R87" s="257">
        <v>0</v>
      </c>
      <c r="S87" s="257">
        <v>0</v>
      </c>
      <c r="T87" s="256">
        <v>0</v>
      </c>
      <c r="U87" s="256">
        <v>0</v>
      </c>
      <c r="V87" s="256">
        <f t="shared" si="4"/>
        <v>865.05</v>
      </c>
      <c r="W87" s="230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</row>
    <row r="88" spans="1:65" s="232" customFormat="1" ht="12.75" hidden="1" outlineLevel="1">
      <c r="A88" s="230" t="s">
        <v>2023</v>
      </c>
      <c r="B88" s="231"/>
      <c r="C88" s="231" t="s">
        <v>2024</v>
      </c>
      <c r="D88" s="231" t="s">
        <v>2025</v>
      </c>
      <c r="E88" s="256">
        <v>1618764.31</v>
      </c>
      <c r="F88" s="256">
        <v>115155.4</v>
      </c>
      <c r="G88" s="256"/>
      <c r="H88" s="257">
        <v>0</v>
      </c>
      <c r="I88" s="257">
        <v>3020</v>
      </c>
      <c r="J88" s="257">
        <v>113</v>
      </c>
      <c r="K88" s="257">
        <v>6704.58</v>
      </c>
      <c r="L88" s="257">
        <v>1598.4</v>
      </c>
      <c r="M88" s="257">
        <v>0</v>
      </c>
      <c r="N88" s="257">
        <v>0</v>
      </c>
      <c r="O88" s="257">
        <v>0</v>
      </c>
      <c r="P88" s="257">
        <v>101823.83</v>
      </c>
      <c r="Q88" s="257">
        <v>0</v>
      </c>
      <c r="R88" s="257">
        <v>125200.65</v>
      </c>
      <c r="S88" s="257">
        <v>6192.4</v>
      </c>
      <c r="T88" s="256">
        <v>244652.86</v>
      </c>
      <c r="U88" s="256">
        <v>0</v>
      </c>
      <c r="V88" s="256">
        <f t="shared" si="4"/>
        <v>1978572.5699999998</v>
      </c>
      <c r="W88" s="230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</row>
    <row r="89" spans="1:65" s="232" customFormat="1" ht="12.75" hidden="1" outlineLevel="1">
      <c r="A89" s="230" t="s">
        <v>462</v>
      </c>
      <c r="B89" s="231"/>
      <c r="C89" s="231" t="s">
        <v>463</v>
      </c>
      <c r="D89" s="231" t="s">
        <v>464</v>
      </c>
      <c r="E89" s="256">
        <v>536.8</v>
      </c>
      <c r="F89" s="256">
        <v>0</v>
      </c>
      <c r="G89" s="256"/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0</v>
      </c>
      <c r="N89" s="257">
        <v>0</v>
      </c>
      <c r="O89" s="257">
        <v>0</v>
      </c>
      <c r="P89" s="257">
        <v>0</v>
      </c>
      <c r="Q89" s="257">
        <v>0</v>
      </c>
      <c r="R89" s="257">
        <v>0</v>
      </c>
      <c r="S89" s="257">
        <v>0</v>
      </c>
      <c r="T89" s="256">
        <v>0</v>
      </c>
      <c r="U89" s="256">
        <v>0</v>
      </c>
      <c r="V89" s="256">
        <f t="shared" si="4"/>
        <v>536.8</v>
      </c>
      <c r="W89" s="230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</row>
    <row r="90" spans="1:65" s="232" customFormat="1" ht="12.75" hidden="1" outlineLevel="1">
      <c r="A90" s="230" t="s">
        <v>465</v>
      </c>
      <c r="B90" s="231"/>
      <c r="C90" s="231" t="s">
        <v>466</v>
      </c>
      <c r="D90" s="231" t="s">
        <v>467</v>
      </c>
      <c r="E90" s="256">
        <v>0</v>
      </c>
      <c r="F90" s="256">
        <v>0</v>
      </c>
      <c r="G90" s="256"/>
      <c r="H90" s="257">
        <v>0</v>
      </c>
      <c r="I90" s="257">
        <v>0</v>
      </c>
      <c r="J90" s="257">
        <v>0</v>
      </c>
      <c r="K90" s="257">
        <v>0</v>
      </c>
      <c r="L90" s="257">
        <v>0</v>
      </c>
      <c r="M90" s="257">
        <v>0</v>
      </c>
      <c r="N90" s="257">
        <v>0</v>
      </c>
      <c r="O90" s="257">
        <v>0</v>
      </c>
      <c r="P90" s="257">
        <v>0</v>
      </c>
      <c r="Q90" s="257">
        <v>0</v>
      </c>
      <c r="R90" s="257">
        <v>0</v>
      </c>
      <c r="S90" s="257">
        <v>493.3</v>
      </c>
      <c r="T90" s="256">
        <v>493.3</v>
      </c>
      <c r="U90" s="256">
        <v>0</v>
      </c>
      <c r="V90" s="256">
        <f t="shared" si="4"/>
        <v>493.3</v>
      </c>
      <c r="W90" s="230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</row>
    <row r="91" spans="1:65" s="232" customFormat="1" ht="12.75" hidden="1" outlineLevel="1">
      <c r="A91" s="230" t="s">
        <v>468</v>
      </c>
      <c r="B91" s="231"/>
      <c r="C91" s="231" t="s">
        <v>469</v>
      </c>
      <c r="D91" s="231" t="s">
        <v>470</v>
      </c>
      <c r="E91" s="256">
        <v>48765.09</v>
      </c>
      <c r="F91" s="256">
        <v>0</v>
      </c>
      <c r="G91" s="256"/>
      <c r="H91" s="257">
        <v>0</v>
      </c>
      <c r="I91" s="257">
        <v>0</v>
      </c>
      <c r="J91" s="257">
        <v>0</v>
      </c>
      <c r="K91" s="257">
        <v>0</v>
      </c>
      <c r="L91" s="257">
        <v>0</v>
      </c>
      <c r="M91" s="257">
        <v>0</v>
      </c>
      <c r="N91" s="257">
        <v>0</v>
      </c>
      <c r="O91" s="257">
        <v>0</v>
      </c>
      <c r="P91" s="257">
        <v>0</v>
      </c>
      <c r="Q91" s="257">
        <v>0</v>
      </c>
      <c r="R91" s="257">
        <v>0</v>
      </c>
      <c r="S91" s="257">
        <v>0</v>
      </c>
      <c r="T91" s="256">
        <v>0</v>
      </c>
      <c r="U91" s="256">
        <v>0</v>
      </c>
      <c r="V91" s="256">
        <f t="shared" si="4"/>
        <v>48765.09</v>
      </c>
      <c r="W91" s="230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</row>
    <row r="92" spans="1:65" s="232" customFormat="1" ht="12.75" hidden="1" outlineLevel="1">
      <c r="A92" s="230" t="s">
        <v>471</v>
      </c>
      <c r="B92" s="231"/>
      <c r="C92" s="231" t="s">
        <v>472</v>
      </c>
      <c r="D92" s="231" t="s">
        <v>473</v>
      </c>
      <c r="E92" s="256">
        <v>129886.28</v>
      </c>
      <c r="F92" s="256">
        <v>0</v>
      </c>
      <c r="G92" s="256"/>
      <c r="H92" s="257">
        <v>0</v>
      </c>
      <c r="I92" s="257">
        <v>0</v>
      </c>
      <c r="J92" s="257">
        <v>0</v>
      </c>
      <c r="K92" s="257">
        <v>0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6">
        <v>0</v>
      </c>
      <c r="U92" s="256">
        <v>0</v>
      </c>
      <c r="V92" s="256">
        <f t="shared" si="4"/>
        <v>129886.28</v>
      </c>
      <c r="W92" s="230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</row>
    <row r="93" spans="1:65" s="232" customFormat="1" ht="12.75" hidden="1" outlineLevel="1">
      <c r="A93" s="230" t="s">
        <v>474</v>
      </c>
      <c r="B93" s="231"/>
      <c r="C93" s="231" t="s">
        <v>475</v>
      </c>
      <c r="D93" s="231" t="s">
        <v>476</v>
      </c>
      <c r="E93" s="256">
        <v>0</v>
      </c>
      <c r="F93" s="256">
        <v>3092.04</v>
      </c>
      <c r="G93" s="256"/>
      <c r="H93" s="257">
        <v>0</v>
      </c>
      <c r="I93" s="257">
        <v>0</v>
      </c>
      <c r="J93" s="257">
        <v>0</v>
      </c>
      <c r="K93" s="257">
        <v>0</v>
      </c>
      <c r="L93" s="257">
        <v>0</v>
      </c>
      <c r="M93" s="257">
        <v>0</v>
      </c>
      <c r="N93" s="257">
        <v>0</v>
      </c>
      <c r="O93" s="257">
        <v>0</v>
      </c>
      <c r="P93" s="257">
        <v>0</v>
      </c>
      <c r="Q93" s="257">
        <v>0</v>
      </c>
      <c r="R93" s="257">
        <v>0</v>
      </c>
      <c r="S93" s="257">
        <v>0</v>
      </c>
      <c r="T93" s="256">
        <v>0</v>
      </c>
      <c r="U93" s="256">
        <v>0</v>
      </c>
      <c r="V93" s="256">
        <f t="shared" si="4"/>
        <v>3092.04</v>
      </c>
      <c r="W93" s="230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</row>
    <row r="94" spans="1:65" s="232" customFormat="1" ht="12.75" hidden="1" outlineLevel="1">
      <c r="A94" s="230" t="s">
        <v>477</v>
      </c>
      <c r="B94" s="231"/>
      <c r="C94" s="231" t="s">
        <v>478</v>
      </c>
      <c r="D94" s="231" t="s">
        <v>479</v>
      </c>
      <c r="E94" s="256">
        <v>282</v>
      </c>
      <c r="F94" s="256">
        <v>0</v>
      </c>
      <c r="G94" s="256"/>
      <c r="H94" s="257">
        <v>0</v>
      </c>
      <c r="I94" s="257">
        <v>0</v>
      </c>
      <c r="J94" s="257">
        <v>0</v>
      </c>
      <c r="K94" s="257">
        <v>0</v>
      </c>
      <c r="L94" s="257">
        <v>0</v>
      </c>
      <c r="M94" s="257">
        <v>0</v>
      </c>
      <c r="N94" s="257">
        <v>0</v>
      </c>
      <c r="O94" s="257">
        <v>0</v>
      </c>
      <c r="P94" s="257">
        <v>0</v>
      </c>
      <c r="Q94" s="257">
        <v>0</v>
      </c>
      <c r="R94" s="257">
        <v>0</v>
      </c>
      <c r="S94" s="257">
        <v>0</v>
      </c>
      <c r="T94" s="256">
        <v>0</v>
      </c>
      <c r="U94" s="256">
        <v>0</v>
      </c>
      <c r="V94" s="256">
        <f t="shared" si="4"/>
        <v>282</v>
      </c>
      <c r="W94" s="230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</row>
    <row r="95" spans="1:65" s="232" customFormat="1" ht="12.75" hidden="1" outlineLevel="1">
      <c r="A95" s="230" t="s">
        <v>480</v>
      </c>
      <c r="B95" s="231"/>
      <c r="C95" s="231" t="s">
        <v>481</v>
      </c>
      <c r="D95" s="231" t="s">
        <v>482</v>
      </c>
      <c r="E95" s="256">
        <v>54000</v>
      </c>
      <c r="F95" s="256">
        <v>0</v>
      </c>
      <c r="G95" s="256"/>
      <c r="H95" s="257">
        <v>0</v>
      </c>
      <c r="I95" s="257">
        <v>0</v>
      </c>
      <c r="J95" s="257">
        <v>0</v>
      </c>
      <c r="K95" s="257">
        <v>0</v>
      </c>
      <c r="L95" s="257">
        <v>0</v>
      </c>
      <c r="M95" s="257">
        <v>0</v>
      </c>
      <c r="N95" s="257">
        <v>0</v>
      </c>
      <c r="O95" s="257">
        <v>0</v>
      </c>
      <c r="P95" s="257">
        <v>0</v>
      </c>
      <c r="Q95" s="257">
        <v>0</v>
      </c>
      <c r="R95" s="257">
        <v>0</v>
      </c>
      <c r="S95" s="257">
        <v>0</v>
      </c>
      <c r="T95" s="256">
        <v>0</v>
      </c>
      <c r="U95" s="256">
        <v>0</v>
      </c>
      <c r="V95" s="256">
        <f t="shared" si="4"/>
        <v>54000</v>
      </c>
      <c r="W95" s="230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</row>
    <row r="96" spans="1:65" s="232" customFormat="1" ht="12.75" hidden="1" outlineLevel="1">
      <c r="A96" s="230" t="s">
        <v>483</v>
      </c>
      <c r="B96" s="231"/>
      <c r="C96" s="231" t="s">
        <v>484</v>
      </c>
      <c r="D96" s="231" t="s">
        <v>485</v>
      </c>
      <c r="E96" s="256">
        <v>0</v>
      </c>
      <c r="F96" s="256">
        <v>70.5</v>
      </c>
      <c r="G96" s="256"/>
      <c r="H96" s="257">
        <v>0</v>
      </c>
      <c r="I96" s="257">
        <v>0</v>
      </c>
      <c r="J96" s="257">
        <v>0</v>
      </c>
      <c r="K96" s="257">
        <v>0</v>
      </c>
      <c r="L96" s="257">
        <v>0</v>
      </c>
      <c r="M96" s="257">
        <v>0</v>
      </c>
      <c r="N96" s="257">
        <v>0</v>
      </c>
      <c r="O96" s="257">
        <v>0</v>
      </c>
      <c r="P96" s="257">
        <v>0</v>
      </c>
      <c r="Q96" s="257">
        <v>0</v>
      </c>
      <c r="R96" s="257">
        <v>0</v>
      </c>
      <c r="S96" s="257">
        <v>0</v>
      </c>
      <c r="T96" s="256">
        <v>0</v>
      </c>
      <c r="U96" s="256">
        <v>0</v>
      </c>
      <c r="V96" s="256">
        <f t="shared" si="4"/>
        <v>70.5</v>
      </c>
      <c r="W96" s="230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</row>
    <row r="97" spans="1:65" s="232" customFormat="1" ht="12.75" hidden="1" outlineLevel="1">
      <c r="A97" s="230" t="s">
        <v>486</v>
      </c>
      <c r="B97" s="231"/>
      <c r="C97" s="231" t="s">
        <v>487</v>
      </c>
      <c r="D97" s="231" t="s">
        <v>488</v>
      </c>
      <c r="E97" s="256">
        <v>2225314.52</v>
      </c>
      <c r="F97" s="256">
        <v>0</v>
      </c>
      <c r="G97" s="256"/>
      <c r="H97" s="257">
        <v>0</v>
      </c>
      <c r="I97" s="257">
        <v>0</v>
      </c>
      <c r="J97" s="257">
        <v>0</v>
      </c>
      <c r="K97" s="257">
        <v>0</v>
      </c>
      <c r="L97" s="257">
        <v>0</v>
      </c>
      <c r="M97" s="257">
        <v>0</v>
      </c>
      <c r="N97" s="257">
        <v>0</v>
      </c>
      <c r="O97" s="257">
        <v>0</v>
      </c>
      <c r="P97" s="257">
        <v>0</v>
      </c>
      <c r="Q97" s="257">
        <v>0</v>
      </c>
      <c r="R97" s="257">
        <v>0</v>
      </c>
      <c r="S97" s="257">
        <v>0</v>
      </c>
      <c r="T97" s="256">
        <v>0</v>
      </c>
      <c r="U97" s="256">
        <v>0</v>
      </c>
      <c r="V97" s="256">
        <f t="shared" si="4"/>
        <v>2225314.52</v>
      </c>
      <c r="W97" s="230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</row>
    <row r="98" spans="1:65" s="232" customFormat="1" ht="12.75" hidden="1" outlineLevel="1">
      <c r="A98" s="230" t="s">
        <v>489</v>
      </c>
      <c r="B98" s="231"/>
      <c r="C98" s="231" t="s">
        <v>490</v>
      </c>
      <c r="D98" s="231" t="s">
        <v>491</v>
      </c>
      <c r="E98" s="256">
        <v>-43876.87</v>
      </c>
      <c r="F98" s="256">
        <v>0</v>
      </c>
      <c r="G98" s="256"/>
      <c r="H98" s="257">
        <v>0</v>
      </c>
      <c r="I98" s="257">
        <v>0</v>
      </c>
      <c r="J98" s="257">
        <v>0</v>
      </c>
      <c r="K98" s="257">
        <v>0</v>
      </c>
      <c r="L98" s="257">
        <v>0</v>
      </c>
      <c r="M98" s="257">
        <v>0</v>
      </c>
      <c r="N98" s="257">
        <v>0</v>
      </c>
      <c r="O98" s="257">
        <v>0</v>
      </c>
      <c r="P98" s="257">
        <v>0</v>
      </c>
      <c r="Q98" s="257">
        <v>0</v>
      </c>
      <c r="R98" s="257">
        <v>0</v>
      </c>
      <c r="S98" s="257">
        <v>0</v>
      </c>
      <c r="T98" s="256">
        <v>0</v>
      </c>
      <c r="U98" s="256">
        <v>0</v>
      </c>
      <c r="V98" s="256">
        <f t="shared" si="4"/>
        <v>-43876.87</v>
      </c>
      <c r="W98" s="230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</row>
    <row r="99" spans="1:65" s="251" customFormat="1" ht="12.75" customHeight="1" collapsed="1">
      <c r="A99" s="214" t="s">
        <v>2032</v>
      </c>
      <c r="B99" s="214"/>
      <c r="C99" s="213" t="s">
        <v>1555</v>
      </c>
      <c r="D99" s="215"/>
      <c r="E99" s="102">
        <v>4154114.83</v>
      </c>
      <c r="F99" s="102">
        <v>151443.82</v>
      </c>
      <c r="G99" s="102">
        <v>0</v>
      </c>
      <c r="H99" s="101">
        <v>0</v>
      </c>
      <c r="I99" s="101">
        <v>3020</v>
      </c>
      <c r="J99" s="101">
        <v>113</v>
      </c>
      <c r="K99" s="101">
        <v>6656.67</v>
      </c>
      <c r="L99" s="101">
        <v>1598.4</v>
      </c>
      <c r="M99" s="101">
        <v>0</v>
      </c>
      <c r="N99" s="101">
        <v>0</v>
      </c>
      <c r="O99" s="101">
        <v>0</v>
      </c>
      <c r="P99" s="101">
        <v>125226.51</v>
      </c>
      <c r="Q99" s="101">
        <v>0</v>
      </c>
      <c r="R99" s="101">
        <v>125179.27</v>
      </c>
      <c r="S99" s="101">
        <v>6706.63</v>
      </c>
      <c r="T99" s="102">
        <v>268500.48</v>
      </c>
      <c r="U99" s="102">
        <v>0</v>
      </c>
      <c r="V99" s="102">
        <f t="shared" si="4"/>
        <v>4574059.130000001</v>
      </c>
      <c r="W99" s="213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  <c r="BK99" s="250"/>
      <c r="BL99" s="250"/>
      <c r="BM99" s="250"/>
    </row>
    <row r="100" spans="1:65" s="251" customFormat="1" ht="12.75" customHeight="1">
      <c r="A100" s="259" t="s">
        <v>1488</v>
      </c>
      <c r="B100" s="219"/>
      <c r="C100" s="212" t="s">
        <v>1556</v>
      </c>
      <c r="D100" s="65"/>
      <c r="E100" s="104">
        <f aca="true" t="shared" si="5" ref="E100:V100">+E65+E67+E68+E69+E77+E79+E80+E81+E82+E83+E84+E99</f>
        <v>64904117.12000001</v>
      </c>
      <c r="F100" s="104">
        <f t="shared" si="5"/>
        <v>6092629.03</v>
      </c>
      <c r="G100" s="104">
        <f t="shared" si="5"/>
        <v>23189248.83</v>
      </c>
      <c r="H100" s="260">
        <f t="shared" si="5"/>
        <v>0</v>
      </c>
      <c r="I100" s="260">
        <f t="shared" si="5"/>
        <v>4120.08</v>
      </c>
      <c r="J100" s="260">
        <f t="shared" si="5"/>
        <v>113</v>
      </c>
      <c r="K100" s="260">
        <f t="shared" si="5"/>
        <v>6656.67</v>
      </c>
      <c r="L100" s="260">
        <f t="shared" si="5"/>
        <v>27818.440000000002</v>
      </c>
      <c r="M100" s="260">
        <f t="shared" si="5"/>
        <v>0</v>
      </c>
      <c r="N100" s="260">
        <f t="shared" si="5"/>
        <v>0</v>
      </c>
      <c r="O100" s="260">
        <f t="shared" si="5"/>
        <v>0</v>
      </c>
      <c r="P100" s="260">
        <f t="shared" si="5"/>
        <v>125226.51</v>
      </c>
      <c r="Q100" s="260">
        <f t="shared" si="5"/>
        <v>0</v>
      </c>
      <c r="R100" s="260">
        <f t="shared" si="5"/>
        <v>125179.27</v>
      </c>
      <c r="S100" s="260">
        <f t="shared" si="5"/>
        <v>6706.63</v>
      </c>
      <c r="T100" s="104">
        <f t="shared" si="5"/>
        <v>295820.6</v>
      </c>
      <c r="U100" s="104">
        <f t="shared" si="5"/>
        <v>0</v>
      </c>
      <c r="V100" s="104">
        <f t="shared" si="5"/>
        <v>94481815.58000003</v>
      </c>
      <c r="W100" s="253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</row>
    <row r="101" spans="1:65" s="251" customFormat="1" ht="12.75" customHeight="1">
      <c r="A101" s="214"/>
      <c r="B101" s="214"/>
      <c r="C101" s="213"/>
      <c r="D101" s="215"/>
      <c r="E101" s="102"/>
      <c r="F101" s="102"/>
      <c r="G101" s="102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2"/>
      <c r="V101" s="102"/>
      <c r="W101" s="213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</row>
    <row r="102" spans="1:65" s="251" customFormat="1" ht="12.75" customHeight="1">
      <c r="A102" s="252"/>
      <c r="B102" s="219" t="s">
        <v>1557</v>
      </c>
      <c r="C102" s="220"/>
      <c r="D102" s="74"/>
      <c r="E102" s="102"/>
      <c r="F102" s="102"/>
      <c r="G102" s="102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102"/>
      <c r="U102" s="102"/>
      <c r="V102" s="102"/>
      <c r="W102" s="253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</row>
    <row r="103" spans="1:65" s="232" customFormat="1" ht="12.75" hidden="1" outlineLevel="1">
      <c r="A103" s="230" t="s">
        <v>2033</v>
      </c>
      <c r="B103" s="231"/>
      <c r="C103" s="231" t="s">
        <v>2034</v>
      </c>
      <c r="D103" s="231" t="s">
        <v>2035</v>
      </c>
      <c r="E103" s="256">
        <v>21286613.43</v>
      </c>
      <c r="F103" s="256">
        <v>206837.25</v>
      </c>
      <c r="G103" s="256"/>
      <c r="H103" s="257">
        <v>0</v>
      </c>
      <c r="I103" s="257">
        <v>0</v>
      </c>
      <c r="J103" s="257">
        <v>0</v>
      </c>
      <c r="K103" s="257">
        <v>0</v>
      </c>
      <c r="L103" s="257">
        <v>0</v>
      </c>
      <c r="M103" s="257">
        <v>0</v>
      </c>
      <c r="N103" s="257">
        <v>0</v>
      </c>
      <c r="O103" s="257">
        <v>0</v>
      </c>
      <c r="P103" s="257">
        <v>0</v>
      </c>
      <c r="Q103" s="257">
        <v>0</v>
      </c>
      <c r="R103" s="257">
        <v>0</v>
      </c>
      <c r="S103" s="257">
        <v>0</v>
      </c>
      <c r="T103" s="256">
        <v>0</v>
      </c>
      <c r="U103" s="256">
        <v>0</v>
      </c>
      <c r="V103" s="256">
        <f aca="true" t="shared" si="6" ref="V103:V166">E103+F103+G103+T103+U103</f>
        <v>21493450.68</v>
      </c>
      <c r="W103" s="230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</row>
    <row r="104" spans="1:65" s="232" customFormat="1" ht="12.75" hidden="1" outlineLevel="1">
      <c r="A104" s="230" t="s">
        <v>2036</v>
      </c>
      <c r="B104" s="231"/>
      <c r="C104" s="231" t="s">
        <v>2037</v>
      </c>
      <c r="D104" s="231" t="s">
        <v>2038</v>
      </c>
      <c r="E104" s="256">
        <v>4481751.9</v>
      </c>
      <c r="F104" s="256">
        <v>159336.53</v>
      </c>
      <c r="G104" s="256"/>
      <c r="H104" s="257">
        <v>0</v>
      </c>
      <c r="I104" s="257">
        <v>0</v>
      </c>
      <c r="J104" s="257">
        <v>0</v>
      </c>
      <c r="K104" s="257">
        <v>0</v>
      </c>
      <c r="L104" s="257">
        <v>0</v>
      </c>
      <c r="M104" s="257">
        <v>0</v>
      </c>
      <c r="N104" s="257">
        <v>0</v>
      </c>
      <c r="O104" s="257">
        <v>0</v>
      </c>
      <c r="P104" s="257">
        <v>0</v>
      </c>
      <c r="Q104" s="257">
        <v>0</v>
      </c>
      <c r="R104" s="257">
        <v>0</v>
      </c>
      <c r="S104" s="257">
        <v>0</v>
      </c>
      <c r="T104" s="256">
        <v>0</v>
      </c>
      <c r="U104" s="256">
        <v>0</v>
      </c>
      <c r="V104" s="256">
        <f t="shared" si="6"/>
        <v>4641088.430000001</v>
      </c>
      <c r="W104" s="230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</row>
    <row r="105" spans="1:65" s="232" customFormat="1" ht="12.75" hidden="1" outlineLevel="1">
      <c r="A105" s="230" t="s">
        <v>2039</v>
      </c>
      <c r="B105" s="231"/>
      <c r="C105" s="231" t="s">
        <v>2040</v>
      </c>
      <c r="D105" s="231" t="s">
        <v>2041</v>
      </c>
      <c r="E105" s="256">
        <v>7950760.65</v>
      </c>
      <c r="F105" s="256">
        <v>897356.36</v>
      </c>
      <c r="G105" s="256"/>
      <c r="H105" s="257">
        <v>0</v>
      </c>
      <c r="I105" s="257">
        <v>0</v>
      </c>
      <c r="J105" s="257">
        <v>0</v>
      </c>
      <c r="K105" s="257">
        <v>0</v>
      </c>
      <c r="L105" s="257">
        <v>0</v>
      </c>
      <c r="M105" s="257">
        <v>0</v>
      </c>
      <c r="N105" s="257">
        <v>0</v>
      </c>
      <c r="O105" s="257">
        <v>0</v>
      </c>
      <c r="P105" s="257">
        <v>0</v>
      </c>
      <c r="Q105" s="257">
        <v>0</v>
      </c>
      <c r="R105" s="257">
        <v>0</v>
      </c>
      <c r="S105" s="257">
        <v>1937.9</v>
      </c>
      <c r="T105" s="256">
        <v>1937.9</v>
      </c>
      <c r="U105" s="256">
        <v>0</v>
      </c>
      <c r="V105" s="256">
        <f t="shared" si="6"/>
        <v>8850054.91</v>
      </c>
      <c r="W105" s="230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</row>
    <row r="106" spans="1:65" s="232" customFormat="1" ht="12.75" hidden="1" outlineLevel="1">
      <c r="A106" s="230" t="s">
        <v>2042</v>
      </c>
      <c r="B106" s="231"/>
      <c r="C106" s="231" t="s">
        <v>2043</v>
      </c>
      <c r="D106" s="231" t="s">
        <v>2044</v>
      </c>
      <c r="E106" s="256">
        <v>2308386.98</v>
      </c>
      <c r="F106" s="256">
        <v>25080.01</v>
      </c>
      <c r="G106" s="256"/>
      <c r="H106" s="257">
        <v>0</v>
      </c>
      <c r="I106" s="257">
        <v>0</v>
      </c>
      <c r="J106" s="257">
        <v>0</v>
      </c>
      <c r="K106" s="257">
        <v>0</v>
      </c>
      <c r="L106" s="257">
        <v>0</v>
      </c>
      <c r="M106" s="257">
        <v>0</v>
      </c>
      <c r="N106" s="257">
        <v>0</v>
      </c>
      <c r="O106" s="257">
        <v>0</v>
      </c>
      <c r="P106" s="257">
        <v>0</v>
      </c>
      <c r="Q106" s="257">
        <v>0</v>
      </c>
      <c r="R106" s="257">
        <v>0</v>
      </c>
      <c r="S106" s="257">
        <v>0</v>
      </c>
      <c r="T106" s="256">
        <v>0</v>
      </c>
      <c r="U106" s="256">
        <v>0</v>
      </c>
      <c r="V106" s="256">
        <f t="shared" si="6"/>
        <v>2333466.9899999998</v>
      </c>
      <c r="W106" s="230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</row>
    <row r="107" spans="1:65" s="232" customFormat="1" ht="12.75" hidden="1" outlineLevel="1">
      <c r="A107" s="230" t="s">
        <v>2045</v>
      </c>
      <c r="B107" s="231"/>
      <c r="C107" s="231" t="s">
        <v>2046</v>
      </c>
      <c r="D107" s="231" t="s">
        <v>2047</v>
      </c>
      <c r="E107" s="256">
        <v>10287886.01</v>
      </c>
      <c r="F107" s="256">
        <v>876113.39</v>
      </c>
      <c r="G107" s="256"/>
      <c r="H107" s="257">
        <v>0</v>
      </c>
      <c r="I107" s="257">
        <v>134151.36</v>
      </c>
      <c r="J107" s="257">
        <v>36166.63</v>
      </c>
      <c r="K107" s="257">
        <v>0</v>
      </c>
      <c r="L107" s="257">
        <v>0</v>
      </c>
      <c r="M107" s="257">
        <v>0</v>
      </c>
      <c r="N107" s="257">
        <v>0</v>
      </c>
      <c r="O107" s="257">
        <v>0</v>
      </c>
      <c r="P107" s="257">
        <v>73932.19</v>
      </c>
      <c r="Q107" s="257">
        <v>0</v>
      </c>
      <c r="R107" s="257">
        <v>48530</v>
      </c>
      <c r="S107" s="257">
        <v>154889.84</v>
      </c>
      <c r="T107" s="256">
        <v>447670.02</v>
      </c>
      <c r="U107" s="256">
        <v>0</v>
      </c>
      <c r="V107" s="256">
        <f t="shared" si="6"/>
        <v>11611669.42</v>
      </c>
      <c r="W107" s="230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</row>
    <row r="108" spans="1:65" s="232" customFormat="1" ht="12.75" hidden="1" outlineLevel="1">
      <c r="A108" s="230" t="s">
        <v>2048</v>
      </c>
      <c r="B108" s="231"/>
      <c r="C108" s="231" t="s">
        <v>2049</v>
      </c>
      <c r="D108" s="231" t="s">
        <v>2050</v>
      </c>
      <c r="E108" s="256">
        <v>8014176.55</v>
      </c>
      <c r="F108" s="256">
        <v>412158.96</v>
      </c>
      <c r="G108" s="256"/>
      <c r="H108" s="257">
        <v>0</v>
      </c>
      <c r="I108" s="257">
        <v>183701.83</v>
      </c>
      <c r="J108" s="257">
        <v>0</v>
      </c>
      <c r="K108" s="257">
        <v>0</v>
      </c>
      <c r="L108" s="257">
        <v>78141.61</v>
      </c>
      <c r="M108" s="257">
        <v>0</v>
      </c>
      <c r="N108" s="257">
        <v>0</v>
      </c>
      <c r="O108" s="257">
        <v>0</v>
      </c>
      <c r="P108" s="257">
        <v>165492.06</v>
      </c>
      <c r="Q108" s="257">
        <v>0</v>
      </c>
      <c r="R108" s="257">
        <v>99974.16</v>
      </c>
      <c r="S108" s="257">
        <v>0</v>
      </c>
      <c r="T108" s="256">
        <v>527309.66</v>
      </c>
      <c r="U108" s="256">
        <v>0</v>
      </c>
      <c r="V108" s="256">
        <f t="shared" si="6"/>
        <v>8953645.17</v>
      </c>
      <c r="W108" s="230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</row>
    <row r="109" spans="1:65" s="232" customFormat="1" ht="12.75" hidden="1" outlineLevel="1">
      <c r="A109" s="230" t="s">
        <v>2051</v>
      </c>
      <c r="B109" s="231"/>
      <c r="C109" s="231" t="s">
        <v>2052</v>
      </c>
      <c r="D109" s="231" t="s">
        <v>2053</v>
      </c>
      <c r="E109" s="256">
        <v>1324064.54</v>
      </c>
      <c r="F109" s="256">
        <v>9589.99</v>
      </c>
      <c r="G109" s="256"/>
      <c r="H109" s="257">
        <v>0</v>
      </c>
      <c r="I109" s="257">
        <v>-25.74</v>
      </c>
      <c r="J109" s="257">
        <v>0</v>
      </c>
      <c r="K109" s="257">
        <v>0</v>
      </c>
      <c r="L109" s="257">
        <v>12017.46</v>
      </c>
      <c r="M109" s="257">
        <v>0</v>
      </c>
      <c r="N109" s="257">
        <v>94.64</v>
      </c>
      <c r="O109" s="257">
        <v>0</v>
      </c>
      <c r="P109" s="257">
        <v>0</v>
      </c>
      <c r="Q109" s="257">
        <v>0</v>
      </c>
      <c r="R109" s="257">
        <v>0</v>
      </c>
      <c r="S109" s="257">
        <v>7649.62</v>
      </c>
      <c r="T109" s="256">
        <v>19735.98</v>
      </c>
      <c r="U109" s="256">
        <v>0</v>
      </c>
      <c r="V109" s="256">
        <f t="shared" si="6"/>
        <v>1353390.51</v>
      </c>
      <c r="W109" s="230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</row>
    <row r="110" spans="1:65" s="232" customFormat="1" ht="12.75" hidden="1" outlineLevel="1">
      <c r="A110" s="230" t="s">
        <v>2054</v>
      </c>
      <c r="B110" s="231"/>
      <c r="C110" s="231" t="s">
        <v>2055</v>
      </c>
      <c r="D110" s="231" t="s">
        <v>2056</v>
      </c>
      <c r="E110" s="256">
        <v>4727481.69</v>
      </c>
      <c r="F110" s="256">
        <v>306185.3</v>
      </c>
      <c r="G110" s="256"/>
      <c r="H110" s="257">
        <v>0</v>
      </c>
      <c r="I110" s="257">
        <v>12163.51</v>
      </c>
      <c r="J110" s="257">
        <v>0</v>
      </c>
      <c r="K110" s="257">
        <v>0</v>
      </c>
      <c r="L110" s="257">
        <v>3709.35</v>
      </c>
      <c r="M110" s="257">
        <v>21706.38</v>
      </c>
      <c r="N110" s="257">
        <v>0</v>
      </c>
      <c r="O110" s="257">
        <v>0</v>
      </c>
      <c r="P110" s="257">
        <v>58135.56</v>
      </c>
      <c r="Q110" s="257">
        <v>0</v>
      </c>
      <c r="R110" s="257">
        <v>71145.38</v>
      </c>
      <c r="S110" s="257">
        <v>17054.22</v>
      </c>
      <c r="T110" s="256">
        <v>183914.4</v>
      </c>
      <c r="U110" s="256">
        <v>0</v>
      </c>
      <c r="V110" s="256">
        <f t="shared" si="6"/>
        <v>5217581.390000001</v>
      </c>
      <c r="W110" s="230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</row>
    <row r="111" spans="1:65" s="232" customFormat="1" ht="12.75" hidden="1" outlineLevel="1">
      <c r="A111" s="230" t="s">
        <v>2057</v>
      </c>
      <c r="B111" s="231"/>
      <c r="C111" s="231" t="s">
        <v>2058</v>
      </c>
      <c r="D111" s="231" t="s">
        <v>2059</v>
      </c>
      <c r="E111" s="256">
        <v>1003632.02</v>
      </c>
      <c r="F111" s="256">
        <v>0</v>
      </c>
      <c r="G111" s="256"/>
      <c r="H111" s="257">
        <v>36953.58</v>
      </c>
      <c r="I111" s="257">
        <v>144248.79</v>
      </c>
      <c r="J111" s="257">
        <v>0</v>
      </c>
      <c r="K111" s="257">
        <v>0</v>
      </c>
      <c r="L111" s="257">
        <v>0</v>
      </c>
      <c r="M111" s="257">
        <v>0</v>
      </c>
      <c r="N111" s="257">
        <v>67644.51</v>
      </c>
      <c r="O111" s="257">
        <v>12237.92</v>
      </c>
      <c r="P111" s="257">
        <v>167944.78</v>
      </c>
      <c r="Q111" s="257">
        <v>0</v>
      </c>
      <c r="R111" s="257">
        <v>0</v>
      </c>
      <c r="S111" s="257">
        <v>328820.9</v>
      </c>
      <c r="T111" s="256">
        <v>757850.48</v>
      </c>
      <c r="U111" s="256">
        <v>0</v>
      </c>
      <c r="V111" s="256">
        <f t="shared" si="6"/>
        <v>1761482.5</v>
      </c>
      <c r="W111" s="230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</row>
    <row r="112" spans="1:65" s="232" customFormat="1" ht="12.75" hidden="1" outlineLevel="1">
      <c r="A112" s="230" t="s">
        <v>2060</v>
      </c>
      <c r="B112" s="231"/>
      <c r="C112" s="231" t="s">
        <v>2061</v>
      </c>
      <c r="D112" s="231" t="s">
        <v>2062</v>
      </c>
      <c r="E112" s="256">
        <v>1848444.24</v>
      </c>
      <c r="F112" s="256">
        <v>23793.86</v>
      </c>
      <c r="G112" s="256"/>
      <c r="H112" s="257">
        <v>0</v>
      </c>
      <c r="I112" s="257">
        <v>0</v>
      </c>
      <c r="J112" s="257">
        <v>118388.27</v>
      </c>
      <c r="K112" s="257">
        <v>0</v>
      </c>
      <c r="L112" s="257">
        <v>0</v>
      </c>
      <c r="M112" s="257">
        <v>1910.58</v>
      </c>
      <c r="N112" s="257">
        <v>0</v>
      </c>
      <c r="O112" s="257">
        <v>27294.14</v>
      </c>
      <c r="P112" s="257">
        <v>56899.17</v>
      </c>
      <c r="Q112" s="257">
        <v>0</v>
      </c>
      <c r="R112" s="257">
        <v>-704.49</v>
      </c>
      <c r="S112" s="257">
        <v>647258.57</v>
      </c>
      <c r="T112" s="256">
        <v>851046.24</v>
      </c>
      <c r="U112" s="256">
        <v>0</v>
      </c>
      <c r="V112" s="256">
        <f t="shared" si="6"/>
        <v>2723284.34</v>
      </c>
      <c r="W112" s="230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</row>
    <row r="113" spans="1:65" s="232" customFormat="1" ht="12.75" hidden="1" outlineLevel="1">
      <c r="A113" s="230" t="s">
        <v>2063</v>
      </c>
      <c r="B113" s="231"/>
      <c r="C113" s="231" t="s">
        <v>2064</v>
      </c>
      <c r="D113" s="231" t="s">
        <v>2065</v>
      </c>
      <c r="E113" s="256">
        <v>987764.82</v>
      </c>
      <c r="F113" s="256">
        <v>3632.49</v>
      </c>
      <c r="G113" s="256"/>
      <c r="H113" s="257">
        <v>0</v>
      </c>
      <c r="I113" s="257">
        <v>28502.53</v>
      </c>
      <c r="J113" s="257">
        <v>0</v>
      </c>
      <c r="K113" s="257">
        <v>0</v>
      </c>
      <c r="L113" s="257">
        <v>5693.9</v>
      </c>
      <c r="M113" s="257">
        <v>0</v>
      </c>
      <c r="N113" s="257">
        <v>0</v>
      </c>
      <c r="O113" s="257">
        <v>0</v>
      </c>
      <c r="P113" s="257">
        <v>7573.53</v>
      </c>
      <c r="Q113" s="257">
        <v>0</v>
      </c>
      <c r="R113" s="257">
        <v>0</v>
      </c>
      <c r="S113" s="257">
        <v>30581.44</v>
      </c>
      <c r="T113" s="256">
        <v>72351.4</v>
      </c>
      <c r="U113" s="256">
        <v>0</v>
      </c>
      <c r="V113" s="256">
        <f t="shared" si="6"/>
        <v>1063748.71</v>
      </c>
      <c r="W113" s="230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</row>
    <row r="114" spans="1:65" s="232" customFormat="1" ht="12.75" hidden="1" outlineLevel="1">
      <c r="A114" s="230" t="s">
        <v>2069</v>
      </c>
      <c r="B114" s="231"/>
      <c r="C114" s="231" t="s">
        <v>2070</v>
      </c>
      <c r="D114" s="231" t="s">
        <v>2071</v>
      </c>
      <c r="E114" s="256">
        <v>94100.1</v>
      </c>
      <c r="F114" s="256">
        <v>-8946.4</v>
      </c>
      <c r="G114" s="256"/>
      <c r="H114" s="257">
        <v>-589</v>
      </c>
      <c r="I114" s="257">
        <v>-6647.34</v>
      </c>
      <c r="J114" s="257">
        <v>3758.89</v>
      </c>
      <c r="K114" s="257">
        <v>0</v>
      </c>
      <c r="L114" s="257">
        <v>6748.73</v>
      </c>
      <c r="M114" s="257">
        <v>-480.3</v>
      </c>
      <c r="N114" s="257">
        <v>13466.57</v>
      </c>
      <c r="O114" s="257">
        <v>876.92</v>
      </c>
      <c r="P114" s="257">
        <v>792.12</v>
      </c>
      <c r="Q114" s="257">
        <v>0</v>
      </c>
      <c r="R114" s="257">
        <v>8748.47</v>
      </c>
      <c r="S114" s="257">
        <v>5489.78</v>
      </c>
      <c r="T114" s="256">
        <v>32164.84</v>
      </c>
      <c r="U114" s="256">
        <v>0</v>
      </c>
      <c r="V114" s="256">
        <f t="shared" si="6"/>
        <v>117318.54000000001</v>
      </c>
      <c r="W114" s="230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</row>
    <row r="115" spans="1:65" s="251" customFormat="1" ht="12.75" customHeight="1" collapsed="1">
      <c r="A115" s="214" t="s">
        <v>2072</v>
      </c>
      <c r="B115" s="214"/>
      <c r="C115" s="213" t="s">
        <v>1558</v>
      </c>
      <c r="D115" s="215"/>
      <c r="E115" s="102">
        <v>64315062.92999999</v>
      </c>
      <c r="F115" s="102">
        <v>2911137.74</v>
      </c>
      <c r="G115" s="102">
        <v>3439658.51</v>
      </c>
      <c r="H115" s="101">
        <v>36364.58</v>
      </c>
      <c r="I115" s="101">
        <v>496094.94</v>
      </c>
      <c r="J115" s="101">
        <v>158313.79</v>
      </c>
      <c r="K115" s="101">
        <v>0</v>
      </c>
      <c r="L115" s="101">
        <v>106311.05</v>
      </c>
      <c r="M115" s="101">
        <v>23136.66</v>
      </c>
      <c r="N115" s="101">
        <v>81205.72</v>
      </c>
      <c r="O115" s="101">
        <v>40408.98</v>
      </c>
      <c r="P115" s="101">
        <v>530769.41</v>
      </c>
      <c r="Q115" s="101">
        <v>0</v>
      </c>
      <c r="R115" s="101">
        <v>227693.52</v>
      </c>
      <c r="S115" s="101">
        <v>1193682.27</v>
      </c>
      <c r="T115" s="102">
        <v>2893980.92</v>
      </c>
      <c r="U115" s="102">
        <v>0</v>
      </c>
      <c r="V115" s="102">
        <f t="shared" si="6"/>
        <v>73559840.1</v>
      </c>
      <c r="W115" s="213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</row>
    <row r="116" spans="1:65" s="232" customFormat="1" ht="12.75" hidden="1" outlineLevel="1">
      <c r="A116" s="230" t="s">
        <v>2073</v>
      </c>
      <c r="B116" s="231"/>
      <c r="C116" s="231" t="s">
        <v>2074</v>
      </c>
      <c r="D116" s="231" t="s">
        <v>2075</v>
      </c>
      <c r="E116" s="256">
        <v>69.58</v>
      </c>
      <c r="F116" s="256">
        <v>0</v>
      </c>
      <c r="G116" s="256"/>
      <c r="H116" s="257">
        <v>0</v>
      </c>
      <c r="I116" s="257">
        <v>0</v>
      </c>
      <c r="J116" s="257">
        <v>0</v>
      </c>
      <c r="K116" s="257">
        <v>0</v>
      </c>
      <c r="L116" s="257">
        <v>0</v>
      </c>
      <c r="M116" s="257">
        <v>0</v>
      </c>
      <c r="N116" s="257">
        <v>0</v>
      </c>
      <c r="O116" s="257">
        <v>0</v>
      </c>
      <c r="P116" s="257">
        <v>0</v>
      </c>
      <c r="Q116" s="257">
        <v>0</v>
      </c>
      <c r="R116" s="257">
        <v>0</v>
      </c>
      <c r="S116" s="257">
        <v>0</v>
      </c>
      <c r="T116" s="256">
        <v>0</v>
      </c>
      <c r="U116" s="256">
        <v>0</v>
      </c>
      <c r="V116" s="256">
        <f t="shared" si="6"/>
        <v>69.58</v>
      </c>
      <c r="W116" s="230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</row>
    <row r="117" spans="1:65" s="232" customFormat="1" ht="12.75" hidden="1" outlineLevel="1">
      <c r="A117" s="230" t="s">
        <v>2076</v>
      </c>
      <c r="B117" s="231"/>
      <c r="C117" s="231" t="s">
        <v>2077</v>
      </c>
      <c r="D117" s="231" t="s">
        <v>2078</v>
      </c>
      <c r="E117" s="256">
        <v>5672761.58</v>
      </c>
      <c r="F117" s="256">
        <v>43476.89</v>
      </c>
      <c r="G117" s="256"/>
      <c r="H117" s="257">
        <v>0</v>
      </c>
      <c r="I117" s="257">
        <v>0</v>
      </c>
      <c r="J117" s="257">
        <v>0</v>
      </c>
      <c r="K117" s="257">
        <v>0</v>
      </c>
      <c r="L117" s="257">
        <v>0</v>
      </c>
      <c r="M117" s="257">
        <v>0</v>
      </c>
      <c r="N117" s="257">
        <v>0</v>
      </c>
      <c r="O117" s="257">
        <v>0</v>
      </c>
      <c r="P117" s="257">
        <v>0</v>
      </c>
      <c r="Q117" s="257">
        <v>0</v>
      </c>
      <c r="R117" s="257">
        <v>0</v>
      </c>
      <c r="S117" s="257">
        <v>0</v>
      </c>
      <c r="T117" s="256">
        <v>0</v>
      </c>
      <c r="U117" s="256">
        <v>0</v>
      </c>
      <c r="V117" s="256">
        <f t="shared" si="6"/>
        <v>5716238.47</v>
      </c>
      <c r="W117" s="230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</row>
    <row r="118" spans="1:65" s="232" customFormat="1" ht="12.75" hidden="1" outlineLevel="1">
      <c r="A118" s="230" t="s">
        <v>2079</v>
      </c>
      <c r="B118" s="231"/>
      <c r="C118" s="231" t="s">
        <v>2080</v>
      </c>
      <c r="D118" s="231" t="s">
        <v>2081</v>
      </c>
      <c r="E118" s="256">
        <v>906975.07</v>
      </c>
      <c r="F118" s="256">
        <v>23151.37</v>
      </c>
      <c r="G118" s="256"/>
      <c r="H118" s="257">
        <v>0</v>
      </c>
      <c r="I118" s="257">
        <v>0</v>
      </c>
      <c r="J118" s="257">
        <v>0</v>
      </c>
      <c r="K118" s="257">
        <v>0</v>
      </c>
      <c r="L118" s="257">
        <v>0</v>
      </c>
      <c r="M118" s="257">
        <v>0</v>
      </c>
      <c r="N118" s="257">
        <v>0</v>
      </c>
      <c r="O118" s="257">
        <v>0</v>
      </c>
      <c r="P118" s="257">
        <v>0</v>
      </c>
      <c r="Q118" s="257">
        <v>0</v>
      </c>
      <c r="R118" s="257">
        <v>0</v>
      </c>
      <c r="S118" s="257">
        <v>0</v>
      </c>
      <c r="T118" s="256">
        <v>0</v>
      </c>
      <c r="U118" s="256">
        <v>0</v>
      </c>
      <c r="V118" s="256">
        <f t="shared" si="6"/>
        <v>930126.44</v>
      </c>
      <c r="W118" s="230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</row>
    <row r="119" spans="1:65" s="232" customFormat="1" ht="12.75" hidden="1" outlineLevel="1">
      <c r="A119" s="230" t="s">
        <v>2082</v>
      </c>
      <c r="B119" s="231"/>
      <c r="C119" s="231" t="s">
        <v>2083</v>
      </c>
      <c r="D119" s="231" t="s">
        <v>2084</v>
      </c>
      <c r="E119" s="256">
        <v>1666376.78</v>
      </c>
      <c r="F119" s="256">
        <v>96113.08</v>
      </c>
      <c r="G119" s="256"/>
      <c r="H119" s="257">
        <v>0</v>
      </c>
      <c r="I119" s="257">
        <v>0</v>
      </c>
      <c r="J119" s="257">
        <v>0</v>
      </c>
      <c r="K119" s="257">
        <v>0</v>
      </c>
      <c r="L119" s="257">
        <v>0</v>
      </c>
      <c r="M119" s="257">
        <v>0</v>
      </c>
      <c r="N119" s="257">
        <v>0</v>
      </c>
      <c r="O119" s="257">
        <v>0</v>
      </c>
      <c r="P119" s="257">
        <v>0</v>
      </c>
      <c r="Q119" s="257">
        <v>0</v>
      </c>
      <c r="R119" s="257">
        <v>0</v>
      </c>
      <c r="S119" s="257">
        <v>515.79</v>
      </c>
      <c r="T119" s="256">
        <v>515.79</v>
      </c>
      <c r="U119" s="256">
        <v>0</v>
      </c>
      <c r="V119" s="256">
        <f t="shared" si="6"/>
        <v>1763005.6500000001</v>
      </c>
      <c r="W119" s="230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</row>
    <row r="120" spans="1:65" s="232" customFormat="1" ht="12.75" hidden="1" outlineLevel="1">
      <c r="A120" s="230" t="s">
        <v>2085</v>
      </c>
      <c r="B120" s="231"/>
      <c r="C120" s="231" t="s">
        <v>2086</v>
      </c>
      <c r="D120" s="231" t="s">
        <v>2087</v>
      </c>
      <c r="E120" s="256">
        <v>8476.02</v>
      </c>
      <c r="F120" s="256">
        <v>40.93</v>
      </c>
      <c r="G120" s="256"/>
      <c r="H120" s="257">
        <v>0</v>
      </c>
      <c r="I120" s="257">
        <v>0</v>
      </c>
      <c r="J120" s="257">
        <v>0</v>
      </c>
      <c r="K120" s="257">
        <v>0</v>
      </c>
      <c r="L120" s="257">
        <v>0</v>
      </c>
      <c r="M120" s="257">
        <v>0</v>
      </c>
      <c r="N120" s="257">
        <v>0</v>
      </c>
      <c r="O120" s="257">
        <v>0</v>
      </c>
      <c r="P120" s="257">
        <v>0</v>
      </c>
      <c r="Q120" s="257">
        <v>0</v>
      </c>
      <c r="R120" s="257">
        <v>0</v>
      </c>
      <c r="S120" s="257">
        <v>0</v>
      </c>
      <c r="T120" s="256">
        <v>0</v>
      </c>
      <c r="U120" s="256">
        <v>0</v>
      </c>
      <c r="V120" s="256">
        <f t="shared" si="6"/>
        <v>8516.95</v>
      </c>
      <c r="W120" s="230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</row>
    <row r="121" spans="1:65" s="232" customFormat="1" ht="12.75" hidden="1" outlineLevel="1">
      <c r="A121" s="230" t="s">
        <v>2088</v>
      </c>
      <c r="B121" s="231"/>
      <c r="C121" s="231" t="s">
        <v>2089</v>
      </c>
      <c r="D121" s="231" t="s">
        <v>2090</v>
      </c>
      <c r="E121" s="256">
        <v>2677518.9</v>
      </c>
      <c r="F121" s="256">
        <v>236510.16</v>
      </c>
      <c r="G121" s="256"/>
      <c r="H121" s="257">
        <v>0</v>
      </c>
      <c r="I121" s="257">
        <v>36641.26</v>
      </c>
      <c r="J121" s="257">
        <v>9916.92</v>
      </c>
      <c r="K121" s="257">
        <v>0</v>
      </c>
      <c r="L121" s="257">
        <v>0</v>
      </c>
      <c r="M121" s="257">
        <v>0</v>
      </c>
      <c r="N121" s="257">
        <v>0</v>
      </c>
      <c r="O121" s="257">
        <v>0</v>
      </c>
      <c r="P121" s="257">
        <v>20023.67</v>
      </c>
      <c r="Q121" s="257">
        <v>0</v>
      </c>
      <c r="R121" s="257">
        <v>13229.37</v>
      </c>
      <c r="S121" s="257">
        <v>42420.96</v>
      </c>
      <c r="T121" s="256">
        <v>122232.18</v>
      </c>
      <c r="U121" s="256">
        <v>0</v>
      </c>
      <c r="V121" s="256">
        <f t="shared" si="6"/>
        <v>3036261.24</v>
      </c>
      <c r="W121" s="230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</row>
    <row r="122" spans="1:65" s="232" customFormat="1" ht="12.75" hidden="1" outlineLevel="1">
      <c r="A122" s="230" t="s">
        <v>2091</v>
      </c>
      <c r="B122" s="231"/>
      <c r="C122" s="231" t="s">
        <v>2092</v>
      </c>
      <c r="D122" s="231" t="s">
        <v>2093</v>
      </c>
      <c r="E122" s="256">
        <v>2138437.27</v>
      </c>
      <c r="F122" s="256">
        <v>107944.91</v>
      </c>
      <c r="G122" s="256"/>
      <c r="H122" s="257">
        <v>0</v>
      </c>
      <c r="I122" s="257">
        <v>49631.04</v>
      </c>
      <c r="J122" s="257">
        <v>0</v>
      </c>
      <c r="K122" s="257">
        <v>0</v>
      </c>
      <c r="L122" s="257">
        <v>21558.21</v>
      </c>
      <c r="M122" s="257">
        <v>0</v>
      </c>
      <c r="N122" s="257">
        <v>0</v>
      </c>
      <c r="O122" s="257">
        <v>0</v>
      </c>
      <c r="P122" s="257">
        <v>39265.8</v>
      </c>
      <c r="Q122" s="257">
        <v>0</v>
      </c>
      <c r="R122" s="257">
        <v>27338.51</v>
      </c>
      <c r="S122" s="257">
        <v>0</v>
      </c>
      <c r="T122" s="256">
        <v>137793.56</v>
      </c>
      <c r="U122" s="256">
        <v>0</v>
      </c>
      <c r="V122" s="256">
        <f t="shared" si="6"/>
        <v>2384175.74</v>
      </c>
      <c r="W122" s="230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</row>
    <row r="123" spans="1:65" s="232" customFormat="1" ht="12.75" hidden="1" outlineLevel="1">
      <c r="A123" s="230" t="s">
        <v>2094</v>
      </c>
      <c r="B123" s="231"/>
      <c r="C123" s="231" t="s">
        <v>2095</v>
      </c>
      <c r="D123" s="231" t="s">
        <v>2096</v>
      </c>
      <c r="E123" s="256">
        <v>349322.33</v>
      </c>
      <c r="F123" s="256">
        <v>2245.27</v>
      </c>
      <c r="G123" s="256"/>
      <c r="H123" s="257">
        <v>0</v>
      </c>
      <c r="I123" s="257">
        <v>-5.39</v>
      </c>
      <c r="J123" s="257">
        <v>0</v>
      </c>
      <c r="K123" s="257">
        <v>0</v>
      </c>
      <c r="L123" s="257">
        <v>3341.09</v>
      </c>
      <c r="M123" s="257">
        <v>0</v>
      </c>
      <c r="N123" s="257">
        <v>25.32</v>
      </c>
      <c r="O123" s="257">
        <v>0</v>
      </c>
      <c r="P123" s="257">
        <v>0</v>
      </c>
      <c r="Q123" s="257">
        <v>0</v>
      </c>
      <c r="R123" s="257">
        <v>0</v>
      </c>
      <c r="S123" s="257">
        <v>2081.66</v>
      </c>
      <c r="T123" s="256">
        <v>5442.68</v>
      </c>
      <c r="U123" s="256">
        <v>0</v>
      </c>
      <c r="V123" s="256">
        <f t="shared" si="6"/>
        <v>357010.28</v>
      </c>
      <c r="W123" s="230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</row>
    <row r="124" spans="1:65" s="232" customFormat="1" ht="12.75" hidden="1" outlineLevel="1">
      <c r="A124" s="230" t="s">
        <v>2097</v>
      </c>
      <c r="B124" s="231"/>
      <c r="C124" s="231" t="s">
        <v>2098</v>
      </c>
      <c r="D124" s="231" t="s">
        <v>2099</v>
      </c>
      <c r="E124" s="256">
        <v>1225717.58</v>
      </c>
      <c r="F124" s="256">
        <v>79869.32</v>
      </c>
      <c r="G124" s="256"/>
      <c r="H124" s="257">
        <v>0</v>
      </c>
      <c r="I124" s="257">
        <v>3367.91</v>
      </c>
      <c r="J124" s="257">
        <v>0</v>
      </c>
      <c r="K124" s="257">
        <v>0</v>
      </c>
      <c r="L124" s="257">
        <v>997.85</v>
      </c>
      <c r="M124" s="257">
        <v>2246.8</v>
      </c>
      <c r="N124" s="257">
        <v>0</v>
      </c>
      <c r="O124" s="257">
        <v>0</v>
      </c>
      <c r="P124" s="257">
        <v>15850.59</v>
      </c>
      <c r="Q124" s="257">
        <v>0</v>
      </c>
      <c r="R124" s="257">
        <v>18481.19</v>
      </c>
      <c r="S124" s="257">
        <v>1835.35</v>
      </c>
      <c r="T124" s="256">
        <v>42779.69</v>
      </c>
      <c r="U124" s="256">
        <v>0</v>
      </c>
      <c r="V124" s="256">
        <f t="shared" si="6"/>
        <v>1348366.59</v>
      </c>
      <c r="W124" s="230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</row>
    <row r="125" spans="1:65" s="232" customFormat="1" ht="12.75" hidden="1" outlineLevel="1">
      <c r="A125" s="230" t="s">
        <v>2100</v>
      </c>
      <c r="B125" s="231"/>
      <c r="C125" s="231" t="s">
        <v>2101</v>
      </c>
      <c r="D125" s="231" t="s">
        <v>2102</v>
      </c>
      <c r="E125" s="256">
        <v>272506.24</v>
      </c>
      <c r="F125" s="256">
        <v>0</v>
      </c>
      <c r="G125" s="256"/>
      <c r="H125" s="257">
        <v>9802.25</v>
      </c>
      <c r="I125" s="257">
        <v>39639.64</v>
      </c>
      <c r="J125" s="257">
        <v>0</v>
      </c>
      <c r="K125" s="257">
        <v>0</v>
      </c>
      <c r="L125" s="257">
        <v>0</v>
      </c>
      <c r="M125" s="257">
        <v>0</v>
      </c>
      <c r="N125" s="257">
        <v>18168.95</v>
      </c>
      <c r="O125" s="257">
        <v>3302.36</v>
      </c>
      <c r="P125" s="257">
        <v>46106.15</v>
      </c>
      <c r="Q125" s="257">
        <v>0</v>
      </c>
      <c r="R125" s="257">
        <v>0</v>
      </c>
      <c r="S125" s="257">
        <v>86676.8</v>
      </c>
      <c r="T125" s="256">
        <v>203696.15</v>
      </c>
      <c r="U125" s="256">
        <v>0</v>
      </c>
      <c r="V125" s="256">
        <f t="shared" si="6"/>
        <v>476202.39</v>
      </c>
      <c r="W125" s="230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</row>
    <row r="126" spans="1:65" s="232" customFormat="1" ht="12.75" hidden="1" outlineLevel="1">
      <c r="A126" s="230" t="s">
        <v>2103</v>
      </c>
      <c r="B126" s="231"/>
      <c r="C126" s="231" t="s">
        <v>2104</v>
      </c>
      <c r="D126" s="231" t="s">
        <v>2105</v>
      </c>
      <c r="E126" s="256">
        <v>481716.14</v>
      </c>
      <c r="F126" s="256">
        <v>6525.2</v>
      </c>
      <c r="G126" s="256"/>
      <c r="H126" s="257">
        <v>0</v>
      </c>
      <c r="I126" s="257">
        <v>0</v>
      </c>
      <c r="J126" s="257">
        <v>28259.34</v>
      </c>
      <c r="K126" s="257">
        <v>0</v>
      </c>
      <c r="L126" s="257">
        <v>0</v>
      </c>
      <c r="M126" s="257">
        <v>618.61</v>
      </c>
      <c r="N126" s="257">
        <v>0</v>
      </c>
      <c r="O126" s="257">
        <v>7321.43</v>
      </c>
      <c r="P126" s="257">
        <v>15257.26</v>
      </c>
      <c r="Q126" s="257">
        <v>0</v>
      </c>
      <c r="R126" s="257">
        <v>0</v>
      </c>
      <c r="S126" s="257">
        <v>142573.19</v>
      </c>
      <c r="T126" s="256">
        <v>194029.83</v>
      </c>
      <c r="U126" s="256">
        <v>0</v>
      </c>
      <c r="V126" s="256">
        <f t="shared" si="6"/>
        <v>682271.17</v>
      </c>
      <c r="W126" s="230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</row>
    <row r="127" spans="1:65" s="232" customFormat="1" ht="12.75" hidden="1" outlineLevel="1">
      <c r="A127" s="230" t="s">
        <v>2106</v>
      </c>
      <c r="B127" s="231"/>
      <c r="C127" s="231" t="s">
        <v>2107</v>
      </c>
      <c r="D127" s="231" t="s">
        <v>2108</v>
      </c>
      <c r="E127" s="256">
        <v>21584.74</v>
      </c>
      <c r="F127" s="256">
        <v>204.78</v>
      </c>
      <c r="G127" s="256"/>
      <c r="H127" s="257">
        <v>0</v>
      </c>
      <c r="I127" s="257">
        <v>324.58</v>
      </c>
      <c r="J127" s="257">
        <v>0</v>
      </c>
      <c r="K127" s="257">
        <v>0</v>
      </c>
      <c r="L127" s="257">
        <v>331.01</v>
      </c>
      <c r="M127" s="257">
        <v>0</v>
      </c>
      <c r="N127" s="257">
        <v>0</v>
      </c>
      <c r="O127" s="257">
        <v>0</v>
      </c>
      <c r="P127" s="257">
        <v>0</v>
      </c>
      <c r="Q127" s="257">
        <v>0</v>
      </c>
      <c r="R127" s="257">
        <v>0</v>
      </c>
      <c r="S127" s="257">
        <v>973.43</v>
      </c>
      <c r="T127" s="256">
        <v>1629.02</v>
      </c>
      <c r="U127" s="256">
        <v>0</v>
      </c>
      <c r="V127" s="256">
        <f t="shared" si="6"/>
        <v>23418.54</v>
      </c>
      <c r="W127" s="230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</row>
    <row r="128" spans="1:65" s="232" customFormat="1" ht="12.75" hidden="1" outlineLevel="1">
      <c r="A128" s="230" t="s">
        <v>2109</v>
      </c>
      <c r="B128" s="231"/>
      <c r="C128" s="231" t="s">
        <v>2110</v>
      </c>
      <c r="D128" s="231" t="s">
        <v>2111</v>
      </c>
      <c r="E128" s="256">
        <v>-12056.93</v>
      </c>
      <c r="F128" s="256">
        <v>-1655.34</v>
      </c>
      <c r="G128" s="256"/>
      <c r="H128" s="257">
        <v>0</v>
      </c>
      <c r="I128" s="257">
        <v>0</v>
      </c>
      <c r="J128" s="257">
        <v>-690.3</v>
      </c>
      <c r="K128" s="257">
        <v>0</v>
      </c>
      <c r="L128" s="257">
        <v>0</v>
      </c>
      <c r="M128" s="257">
        <v>0</v>
      </c>
      <c r="N128" s="257">
        <v>0</v>
      </c>
      <c r="O128" s="257">
        <v>0</v>
      </c>
      <c r="P128" s="257">
        <v>0</v>
      </c>
      <c r="Q128" s="257">
        <v>0</v>
      </c>
      <c r="R128" s="257">
        <v>0</v>
      </c>
      <c r="S128" s="257">
        <v>0</v>
      </c>
      <c r="T128" s="256">
        <v>-690.3</v>
      </c>
      <c r="U128" s="256">
        <v>0</v>
      </c>
      <c r="V128" s="256">
        <f t="shared" si="6"/>
        <v>-14402.57</v>
      </c>
      <c r="W128" s="230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</row>
    <row r="129" spans="1:65" s="232" customFormat="1" ht="12.75" hidden="1" outlineLevel="1">
      <c r="A129" s="230" t="s">
        <v>2112</v>
      </c>
      <c r="B129" s="231"/>
      <c r="C129" s="231" t="s">
        <v>2113</v>
      </c>
      <c r="D129" s="231" t="s">
        <v>2114</v>
      </c>
      <c r="E129" s="256">
        <v>83322.31</v>
      </c>
      <c r="F129" s="256">
        <v>0</v>
      </c>
      <c r="G129" s="256"/>
      <c r="H129" s="257">
        <v>0</v>
      </c>
      <c r="I129" s="257">
        <v>0</v>
      </c>
      <c r="J129" s="257">
        <v>0</v>
      </c>
      <c r="K129" s="257">
        <v>0</v>
      </c>
      <c r="L129" s="257">
        <v>0</v>
      </c>
      <c r="M129" s="257">
        <v>0</v>
      </c>
      <c r="N129" s="257">
        <v>0</v>
      </c>
      <c r="O129" s="257">
        <v>0</v>
      </c>
      <c r="P129" s="257">
        <v>0</v>
      </c>
      <c r="Q129" s="257">
        <v>0</v>
      </c>
      <c r="R129" s="257">
        <v>0</v>
      </c>
      <c r="S129" s="257">
        <v>0</v>
      </c>
      <c r="T129" s="256">
        <v>0</v>
      </c>
      <c r="U129" s="256">
        <v>0</v>
      </c>
      <c r="V129" s="256">
        <f t="shared" si="6"/>
        <v>83322.31</v>
      </c>
      <c r="W129" s="230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</row>
    <row r="130" spans="1:65" s="232" customFormat="1" ht="12.75" hidden="1" outlineLevel="1">
      <c r="A130" s="230" t="s">
        <v>2115</v>
      </c>
      <c r="B130" s="231"/>
      <c r="C130" s="231" t="s">
        <v>2116</v>
      </c>
      <c r="D130" s="231" t="s">
        <v>2117</v>
      </c>
      <c r="E130" s="256">
        <v>720</v>
      </c>
      <c r="F130" s="256">
        <v>0</v>
      </c>
      <c r="G130" s="256"/>
      <c r="H130" s="257">
        <v>0</v>
      </c>
      <c r="I130" s="257">
        <v>0</v>
      </c>
      <c r="J130" s="257">
        <v>0</v>
      </c>
      <c r="K130" s="257">
        <v>0</v>
      </c>
      <c r="L130" s="257">
        <v>0</v>
      </c>
      <c r="M130" s="257">
        <v>0</v>
      </c>
      <c r="N130" s="257">
        <v>0</v>
      </c>
      <c r="O130" s="257">
        <v>0</v>
      </c>
      <c r="P130" s="257">
        <v>0</v>
      </c>
      <c r="Q130" s="257">
        <v>0</v>
      </c>
      <c r="R130" s="257">
        <v>0</v>
      </c>
      <c r="S130" s="257">
        <v>0</v>
      </c>
      <c r="T130" s="256">
        <v>0</v>
      </c>
      <c r="U130" s="256">
        <v>0</v>
      </c>
      <c r="V130" s="256">
        <f t="shared" si="6"/>
        <v>720</v>
      </c>
      <c r="W130" s="230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</row>
    <row r="131" spans="1:65" s="232" customFormat="1" ht="12.75" hidden="1" outlineLevel="1">
      <c r="A131" s="230" t="s">
        <v>2118</v>
      </c>
      <c r="B131" s="231"/>
      <c r="C131" s="231" t="s">
        <v>2119</v>
      </c>
      <c r="D131" s="231" t="s">
        <v>2120</v>
      </c>
      <c r="E131" s="256">
        <v>-68206.05</v>
      </c>
      <c r="F131" s="256">
        <v>-6185.88</v>
      </c>
      <c r="G131" s="256"/>
      <c r="H131" s="257">
        <v>-405.72</v>
      </c>
      <c r="I131" s="257">
        <v>-4198.86</v>
      </c>
      <c r="J131" s="257">
        <v>381.54</v>
      </c>
      <c r="K131" s="257">
        <v>0</v>
      </c>
      <c r="L131" s="257">
        <v>1072.68</v>
      </c>
      <c r="M131" s="257">
        <v>-131.55</v>
      </c>
      <c r="N131" s="257">
        <v>2232.73</v>
      </c>
      <c r="O131" s="257">
        <v>-37.4</v>
      </c>
      <c r="P131" s="257">
        <v>-1777.83</v>
      </c>
      <c r="Q131" s="257">
        <v>0</v>
      </c>
      <c r="R131" s="257">
        <v>1144.52</v>
      </c>
      <c r="S131" s="257">
        <v>-2239.34</v>
      </c>
      <c r="T131" s="256">
        <v>-3959.23</v>
      </c>
      <c r="U131" s="256">
        <v>0</v>
      </c>
      <c r="V131" s="256">
        <f t="shared" si="6"/>
        <v>-78351.16</v>
      </c>
      <c r="W131" s="230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</row>
    <row r="132" spans="1:65" s="232" customFormat="1" ht="12.75" hidden="1" outlineLevel="1">
      <c r="A132" s="230" t="s">
        <v>2121</v>
      </c>
      <c r="B132" s="231"/>
      <c r="C132" s="231" t="s">
        <v>2122</v>
      </c>
      <c r="D132" s="231" t="s">
        <v>2123</v>
      </c>
      <c r="E132" s="256">
        <v>660</v>
      </c>
      <c r="F132" s="256">
        <v>0</v>
      </c>
      <c r="G132" s="256"/>
      <c r="H132" s="257">
        <v>0</v>
      </c>
      <c r="I132" s="257">
        <v>0</v>
      </c>
      <c r="J132" s="257">
        <v>0</v>
      </c>
      <c r="K132" s="257">
        <v>0</v>
      </c>
      <c r="L132" s="257">
        <v>0</v>
      </c>
      <c r="M132" s="257">
        <v>0</v>
      </c>
      <c r="N132" s="257">
        <v>0</v>
      </c>
      <c r="O132" s="257">
        <v>0</v>
      </c>
      <c r="P132" s="257">
        <v>0</v>
      </c>
      <c r="Q132" s="257">
        <v>0</v>
      </c>
      <c r="R132" s="257">
        <v>0</v>
      </c>
      <c r="S132" s="257">
        <v>0</v>
      </c>
      <c r="T132" s="256">
        <v>0</v>
      </c>
      <c r="U132" s="256">
        <v>0</v>
      </c>
      <c r="V132" s="256">
        <f t="shared" si="6"/>
        <v>660</v>
      </c>
      <c r="W132" s="230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</row>
    <row r="133" spans="1:65" s="251" customFormat="1" ht="12.75" customHeight="1" collapsed="1">
      <c r="A133" s="214" t="s">
        <v>2124</v>
      </c>
      <c r="B133" s="214"/>
      <c r="C133" s="213" t="s">
        <v>2074</v>
      </c>
      <c r="D133" s="215"/>
      <c r="E133" s="102">
        <v>15425901.56</v>
      </c>
      <c r="F133" s="102">
        <v>588240.69</v>
      </c>
      <c r="G133" s="102">
        <v>735914.02</v>
      </c>
      <c r="H133" s="101">
        <v>9396.53</v>
      </c>
      <c r="I133" s="101">
        <v>125400.18</v>
      </c>
      <c r="J133" s="101">
        <v>37867.5</v>
      </c>
      <c r="K133" s="101">
        <v>0</v>
      </c>
      <c r="L133" s="101">
        <v>27300.84</v>
      </c>
      <c r="M133" s="101">
        <v>2733.86</v>
      </c>
      <c r="N133" s="101">
        <v>20427</v>
      </c>
      <c r="O133" s="101">
        <v>10586.39</v>
      </c>
      <c r="P133" s="101">
        <v>134725.64</v>
      </c>
      <c r="Q133" s="101">
        <v>0</v>
      </c>
      <c r="R133" s="101">
        <v>60193.59</v>
      </c>
      <c r="S133" s="101">
        <v>274837.84</v>
      </c>
      <c r="T133" s="102">
        <v>703469.37</v>
      </c>
      <c r="U133" s="102">
        <v>0</v>
      </c>
      <c r="V133" s="102">
        <f t="shared" si="6"/>
        <v>17453525.64</v>
      </c>
      <c r="W133" s="213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</row>
    <row r="134" spans="1:23" s="232" customFormat="1" ht="12.75" hidden="1" outlineLevel="1">
      <c r="A134" s="230" t="s">
        <v>2125</v>
      </c>
      <c r="B134" s="231"/>
      <c r="C134" s="231" t="s">
        <v>2126</v>
      </c>
      <c r="D134" s="231" t="s">
        <v>2127</v>
      </c>
      <c r="E134" s="256">
        <v>-164512.14</v>
      </c>
      <c r="F134" s="256">
        <v>-48990.5</v>
      </c>
      <c r="G134" s="256"/>
      <c r="H134" s="257">
        <v>-229486.69</v>
      </c>
      <c r="I134" s="257">
        <v>-1174863.43</v>
      </c>
      <c r="J134" s="257">
        <v>-664883.35</v>
      </c>
      <c r="K134" s="257">
        <v>-73495.31</v>
      </c>
      <c r="L134" s="257">
        <v>-338043.62</v>
      </c>
      <c r="M134" s="257">
        <v>-714597.52</v>
      </c>
      <c r="N134" s="257">
        <v>-197373</v>
      </c>
      <c r="O134" s="257">
        <v>-92183.44</v>
      </c>
      <c r="P134" s="257">
        <v>-2188871.85</v>
      </c>
      <c r="Q134" s="257">
        <v>0</v>
      </c>
      <c r="R134" s="257">
        <v>-1503830.48</v>
      </c>
      <c r="S134" s="257">
        <v>-2047135.5</v>
      </c>
      <c r="T134" s="256">
        <v>-9224764.19</v>
      </c>
      <c r="U134" s="256">
        <v>0</v>
      </c>
      <c r="V134" s="256">
        <f t="shared" si="6"/>
        <v>-9438266.83</v>
      </c>
      <c r="W134" s="230"/>
    </row>
    <row r="135" spans="1:23" s="232" customFormat="1" ht="12.75" hidden="1" outlineLevel="1">
      <c r="A135" s="230" t="s">
        <v>2131</v>
      </c>
      <c r="B135" s="231"/>
      <c r="C135" s="231" t="s">
        <v>2132</v>
      </c>
      <c r="D135" s="231" t="s">
        <v>2133</v>
      </c>
      <c r="E135" s="256">
        <v>-300</v>
      </c>
      <c r="F135" s="256">
        <v>0</v>
      </c>
      <c r="G135" s="256"/>
      <c r="H135" s="257">
        <v>0</v>
      </c>
      <c r="I135" s="257">
        <v>0</v>
      </c>
      <c r="J135" s="257">
        <v>0</v>
      </c>
      <c r="K135" s="257">
        <v>0</v>
      </c>
      <c r="L135" s="257">
        <v>0</v>
      </c>
      <c r="M135" s="257">
        <v>0</v>
      </c>
      <c r="N135" s="257">
        <v>0</v>
      </c>
      <c r="O135" s="257">
        <v>0</v>
      </c>
      <c r="P135" s="257">
        <v>0</v>
      </c>
      <c r="Q135" s="257">
        <v>0</v>
      </c>
      <c r="R135" s="257">
        <v>0</v>
      </c>
      <c r="S135" s="257">
        <v>0</v>
      </c>
      <c r="T135" s="256">
        <v>0</v>
      </c>
      <c r="U135" s="256">
        <v>0</v>
      </c>
      <c r="V135" s="256">
        <f t="shared" si="6"/>
        <v>-300</v>
      </c>
      <c r="W135" s="230"/>
    </row>
    <row r="136" spans="1:23" s="232" customFormat="1" ht="12.75" hidden="1" outlineLevel="1">
      <c r="A136" s="230" t="s">
        <v>2134</v>
      </c>
      <c r="B136" s="231"/>
      <c r="C136" s="231" t="s">
        <v>2135</v>
      </c>
      <c r="D136" s="231" t="s">
        <v>2136</v>
      </c>
      <c r="E136" s="256">
        <v>0</v>
      </c>
      <c r="F136" s="256">
        <v>0</v>
      </c>
      <c r="G136" s="256"/>
      <c r="H136" s="257">
        <v>178227.64</v>
      </c>
      <c r="I136" s="257">
        <v>504402.71</v>
      </c>
      <c r="J136" s="257">
        <v>520961.33</v>
      </c>
      <c r="K136" s="257">
        <v>0</v>
      </c>
      <c r="L136" s="257">
        <v>569340.55</v>
      </c>
      <c r="M136" s="257">
        <v>622313.96</v>
      </c>
      <c r="N136" s="257">
        <v>52407.62</v>
      </c>
      <c r="O136" s="257">
        <v>34743.5</v>
      </c>
      <c r="P136" s="257">
        <v>524808.97</v>
      </c>
      <c r="Q136" s="257">
        <v>0</v>
      </c>
      <c r="R136" s="257">
        <v>417004.18</v>
      </c>
      <c r="S136" s="257">
        <v>307395.08</v>
      </c>
      <c r="T136" s="256">
        <v>3731605.54</v>
      </c>
      <c r="U136" s="256">
        <v>0</v>
      </c>
      <c r="V136" s="256">
        <f t="shared" si="6"/>
        <v>3731605.54</v>
      </c>
      <c r="W136" s="230"/>
    </row>
    <row r="137" spans="1:23" s="232" customFormat="1" ht="12.75" hidden="1" outlineLevel="1">
      <c r="A137" s="230" t="s">
        <v>2137</v>
      </c>
      <c r="B137" s="231"/>
      <c r="C137" s="231" t="s">
        <v>2138</v>
      </c>
      <c r="D137" s="231" t="s">
        <v>2139</v>
      </c>
      <c r="E137" s="256">
        <v>0</v>
      </c>
      <c r="F137" s="256">
        <v>0</v>
      </c>
      <c r="G137" s="256"/>
      <c r="H137" s="257">
        <v>0</v>
      </c>
      <c r="I137" s="257">
        <v>0</v>
      </c>
      <c r="J137" s="257">
        <v>0</v>
      </c>
      <c r="K137" s="257">
        <v>0</v>
      </c>
      <c r="L137" s="257">
        <v>0</v>
      </c>
      <c r="M137" s="257">
        <v>0</v>
      </c>
      <c r="N137" s="257">
        <v>0</v>
      </c>
      <c r="O137" s="257">
        <v>0</v>
      </c>
      <c r="P137" s="257">
        <v>329</v>
      </c>
      <c r="Q137" s="257">
        <v>0</v>
      </c>
      <c r="R137" s="257">
        <v>0</v>
      </c>
      <c r="S137" s="257">
        <v>0</v>
      </c>
      <c r="T137" s="256">
        <v>329</v>
      </c>
      <c r="U137" s="256">
        <v>0</v>
      </c>
      <c r="V137" s="256">
        <f t="shared" si="6"/>
        <v>329</v>
      </c>
      <c r="W137" s="230"/>
    </row>
    <row r="138" spans="1:23" s="232" customFormat="1" ht="12.75" hidden="1" outlineLevel="1">
      <c r="A138" s="230" t="s">
        <v>2143</v>
      </c>
      <c r="B138" s="231"/>
      <c r="C138" s="231" t="s">
        <v>2144</v>
      </c>
      <c r="D138" s="231" t="s">
        <v>2145</v>
      </c>
      <c r="E138" s="256">
        <v>0</v>
      </c>
      <c r="F138" s="256">
        <v>0</v>
      </c>
      <c r="G138" s="256"/>
      <c r="H138" s="257">
        <v>0</v>
      </c>
      <c r="I138" s="257">
        <v>0</v>
      </c>
      <c r="J138" s="257">
        <v>0</v>
      </c>
      <c r="K138" s="257">
        <v>0</v>
      </c>
      <c r="L138" s="257">
        <v>0</v>
      </c>
      <c r="M138" s="257">
        <v>0</v>
      </c>
      <c r="N138" s="257">
        <v>0</v>
      </c>
      <c r="O138" s="257">
        <v>0</v>
      </c>
      <c r="P138" s="257">
        <v>3221.75</v>
      </c>
      <c r="Q138" s="257">
        <v>0</v>
      </c>
      <c r="R138" s="257">
        <v>0</v>
      </c>
      <c r="S138" s="257">
        <v>0</v>
      </c>
      <c r="T138" s="256">
        <v>3221.75</v>
      </c>
      <c r="U138" s="256">
        <v>0</v>
      </c>
      <c r="V138" s="256">
        <f t="shared" si="6"/>
        <v>3221.75</v>
      </c>
      <c r="W138" s="230"/>
    </row>
    <row r="139" spans="1:23" s="232" customFormat="1" ht="12.75" hidden="1" outlineLevel="1">
      <c r="A139" s="230" t="s">
        <v>2146</v>
      </c>
      <c r="B139" s="231"/>
      <c r="C139" s="231" t="s">
        <v>2147</v>
      </c>
      <c r="D139" s="231" t="s">
        <v>2148</v>
      </c>
      <c r="E139" s="256">
        <v>0</v>
      </c>
      <c r="F139" s="256">
        <v>0</v>
      </c>
      <c r="G139" s="256"/>
      <c r="H139" s="257">
        <v>0</v>
      </c>
      <c r="I139" s="257">
        <v>0</v>
      </c>
      <c r="J139" s="257">
        <v>0</v>
      </c>
      <c r="K139" s="257">
        <v>0</v>
      </c>
      <c r="L139" s="257">
        <v>0</v>
      </c>
      <c r="M139" s="257">
        <v>0</v>
      </c>
      <c r="N139" s="257">
        <v>0</v>
      </c>
      <c r="O139" s="257">
        <v>0</v>
      </c>
      <c r="P139" s="257">
        <v>135098.33</v>
      </c>
      <c r="Q139" s="257">
        <v>0</v>
      </c>
      <c r="R139" s="257">
        <v>0</v>
      </c>
      <c r="S139" s="257">
        <v>0</v>
      </c>
      <c r="T139" s="256">
        <v>135098.33</v>
      </c>
      <c r="U139" s="256">
        <v>0</v>
      </c>
      <c r="V139" s="256">
        <f t="shared" si="6"/>
        <v>135098.33</v>
      </c>
      <c r="W139" s="230"/>
    </row>
    <row r="140" spans="1:23" s="232" customFormat="1" ht="12.75" hidden="1" outlineLevel="1">
      <c r="A140" s="230" t="s">
        <v>2149</v>
      </c>
      <c r="B140" s="231"/>
      <c r="C140" s="231" t="s">
        <v>2150</v>
      </c>
      <c r="D140" s="231" t="s">
        <v>2151</v>
      </c>
      <c r="E140" s="256">
        <v>0</v>
      </c>
      <c r="F140" s="256">
        <v>0</v>
      </c>
      <c r="G140" s="256"/>
      <c r="H140" s="257">
        <v>0</v>
      </c>
      <c r="I140" s="257">
        <v>0</v>
      </c>
      <c r="J140" s="257">
        <v>0</v>
      </c>
      <c r="K140" s="257">
        <v>0</v>
      </c>
      <c r="L140" s="257">
        <v>0</v>
      </c>
      <c r="M140" s="257">
        <v>0</v>
      </c>
      <c r="N140" s="257">
        <v>0</v>
      </c>
      <c r="O140" s="257">
        <v>0</v>
      </c>
      <c r="P140" s="257">
        <v>134627.96</v>
      </c>
      <c r="Q140" s="257">
        <v>0</v>
      </c>
      <c r="R140" s="257">
        <v>0</v>
      </c>
      <c r="S140" s="257">
        <v>0</v>
      </c>
      <c r="T140" s="256">
        <v>134627.96</v>
      </c>
      <c r="U140" s="256">
        <v>0</v>
      </c>
      <c r="V140" s="256">
        <f t="shared" si="6"/>
        <v>134627.96</v>
      </c>
      <c r="W140" s="230"/>
    </row>
    <row r="141" spans="1:23" s="232" customFormat="1" ht="12.75" hidden="1" outlineLevel="1">
      <c r="A141" s="230" t="s">
        <v>2152</v>
      </c>
      <c r="B141" s="231"/>
      <c r="C141" s="231" t="s">
        <v>2153</v>
      </c>
      <c r="D141" s="231" t="s">
        <v>2154</v>
      </c>
      <c r="E141" s="256">
        <v>0</v>
      </c>
      <c r="F141" s="256">
        <v>0</v>
      </c>
      <c r="G141" s="256"/>
      <c r="H141" s="257">
        <v>0</v>
      </c>
      <c r="I141" s="257">
        <v>0</v>
      </c>
      <c r="J141" s="257">
        <v>0</v>
      </c>
      <c r="K141" s="257">
        <v>0</v>
      </c>
      <c r="L141" s="257">
        <v>0</v>
      </c>
      <c r="M141" s="257">
        <v>0</v>
      </c>
      <c r="N141" s="257">
        <v>0</v>
      </c>
      <c r="O141" s="257">
        <v>0</v>
      </c>
      <c r="P141" s="257">
        <v>246</v>
      </c>
      <c r="Q141" s="257">
        <v>0</v>
      </c>
      <c r="R141" s="257">
        <v>0</v>
      </c>
      <c r="S141" s="257">
        <v>0</v>
      </c>
      <c r="T141" s="256">
        <v>246</v>
      </c>
      <c r="U141" s="256">
        <v>0</v>
      </c>
      <c r="V141" s="256">
        <f t="shared" si="6"/>
        <v>246</v>
      </c>
      <c r="W141" s="230"/>
    </row>
    <row r="142" spans="1:23" s="232" customFormat="1" ht="12.75" hidden="1" outlineLevel="1">
      <c r="A142" s="230" t="s">
        <v>2155</v>
      </c>
      <c r="B142" s="231"/>
      <c r="C142" s="231" t="s">
        <v>2156</v>
      </c>
      <c r="D142" s="231" t="s">
        <v>2157</v>
      </c>
      <c r="E142" s="256">
        <v>0</v>
      </c>
      <c r="F142" s="256">
        <v>0</v>
      </c>
      <c r="G142" s="256"/>
      <c r="H142" s="257">
        <v>0</v>
      </c>
      <c r="I142" s="257">
        <v>94129.84</v>
      </c>
      <c r="J142" s="257">
        <v>363.42</v>
      </c>
      <c r="K142" s="257">
        <v>0</v>
      </c>
      <c r="L142" s="257">
        <v>0</v>
      </c>
      <c r="M142" s="257">
        <v>2191.72</v>
      </c>
      <c r="N142" s="257">
        <v>64636.88</v>
      </c>
      <c r="O142" s="257">
        <v>0</v>
      </c>
      <c r="P142" s="257">
        <v>13985.18</v>
      </c>
      <c r="Q142" s="257">
        <v>0</v>
      </c>
      <c r="R142" s="257">
        <v>0</v>
      </c>
      <c r="S142" s="257">
        <v>34874.43</v>
      </c>
      <c r="T142" s="256">
        <v>210181.47</v>
      </c>
      <c r="U142" s="256">
        <v>0</v>
      </c>
      <c r="V142" s="256">
        <f t="shared" si="6"/>
        <v>210181.47</v>
      </c>
      <c r="W142" s="230"/>
    </row>
    <row r="143" spans="1:23" s="232" customFormat="1" ht="12.75" hidden="1" outlineLevel="1">
      <c r="A143" s="230" t="s">
        <v>2158</v>
      </c>
      <c r="B143" s="231"/>
      <c r="C143" s="231" t="s">
        <v>2159</v>
      </c>
      <c r="D143" s="231" t="s">
        <v>2160</v>
      </c>
      <c r="E143" s="256">
        <v>387338.58</v>
      </c>
      <c r="F143" s="256">
        <v>39832.93</v>
      </c>
      <c r="G143" s="256"/>
      <c r="H143" s="257">
        <v>0</v>
      </c>
      <c r="I143" s="257">
        <v>5571.07</v>
      </c>
      <c r="J143" s="257">
        <v>0</v>
      </c>
      <c r="K143" s="257">
        <v>0</v>
      </c>
      <c r="L143" s="257">
        <v>155.57</v>
      </c>
      <c r="M143" s="257">
        <v>0</v>
      </c>
      <c r="N143" s="257">
        <v>0</v>
      </c>
      <c r="O143" s="257">
        <v>0</v>
      </c>
      <c r="P143" s="257">
        <v>446.06</v>
      </c>
      <c r="Q143" s="257">
        <v>0</v>
      </c>
      <c r="R143" s="257">
        <v>90</v>
      </c>
      <c r="S143" s="257">
        <v>0</v>
      </c>
      <c r="T143" s="256">
        <v>6262.7</v>
      </c>
      <c r="U143" s="256">
        <v>0</v>
      </c>
      <c r="V143" s="256">
        <f t="shared" si="6"/>
        <v>433434.21</v>
      </c>
      <c r="W143" s="230"/>
    </row>
    <row r="144" spans="1:23" s="232" customFormat="1" ht="12.75" hidden="1" outlineLevel="1">
      <c r="A144" s="230" t="s">
        <v>2161</v>
      </c>
      <c r="B144" s="231"/>
      <c r="C144" s="231" t="s">
        <v>2162</v>
      </c>
      <c r="D144" s="231" t="s">
        <v>2163</v>
      </c>
      <c r="E144" s="256">
        <v>88251.17</v>
      </c>
      <c r="F144" s="256">
        <v>4818.06</v>
      </c>
      <c r="G144" s="256"/>
      <c r="H144" s="257">
        <v>0</v>
      </c>
      <c r="I144" s="257">
        <v>50</v>
      </c>
      <c r="J144" s="257">
        <v>93.75</v>
      </c>
      <c r="K144" s="257">
        <v>0</v>
      </c>
      <c r="L144" s="257">
        <v>0</v>
      </c>
      <c r="M144" s="257">
        <v>0</v>
      </c>
      <c r="N144" s="257">
        <v>0</v>
      </c>
      <c r="O144" s="257">
        <v>0</v>
      </c>
      <c r="P144" s="257">
        <v>0</v>
      </c>
      <c r="Q144" s="257">
        <v>0</v>
      </c>
      <c r="R144" s="257">
        <v>0</v>
      </c>
      <c r="S144" s="257">
        <v>0</v>
      </c>
      <c r="T144" s="256">
        <v>143.75</v>
      </c>
      <c r="U144" s="256">
        <v>0</v>
      </c>
      <c r="V144" s="256">
        <f t="shared" si="6"/>
        <v>93212.98</v>
      </c>
      <c r="W144" s="230"/>
    </row>
    <row r="145" spans="1:23" s="232" customFormat="1" ht="12.75" hidden="1" outlineLevel="1">
      <c r="A145" s="230" t="s">
        <v>2164</v>
      </c>
      <c r="B145" s="231"/>
      <c r="C145" s="231" t="s">
        <v>2165</v>
      </c>
      <c r="D145" s="231" t="s">
        <v>2166</v>
      </c>
      <c r="E145" s="256">
        <v>275181.14</v>
      </c>
      <c r="F145" s="256">
        <v>8605.57</v>
      </c>
      <c r="G145" s="256"/>
      <c r="H145" s="257">
        <v>0</v>
      </c>
      <c r="I145" s="257">
        <v>0</v>
      </c>
      <c r="J145" s="257">
        <v>0</v>
      </c>
      <c r="K145" s="257">
        <v>0</v>
      </c>
      <c r="L145" s="257">
        <v>0</v>
      </c>
      <c r="M145" s="257">
        <v>0</v>
      </c>
      <c r="N145" s="257">
        <v>0</v>
      </c>
      <c r="O145" s="257">
        <v>0</v>
      </c>
      <c r="P145" s="257">
        <v>0</v>
      </c>
      <c r="Q145" s="257">
        <v>0</v>
      </c>
      <c r="R145" s="257">
        <v>0</v>
      </c>
      <c r="S145" s="257">
        <v>0</v>
      </c>
      <c r="T145" s="256">
        <v>0</v>
      </c>
      <c r="U145" s="256">
        <v>0</v>
      </c>
      <c r="V145" s="256">
        <f t="shared" si="6"/>
        <v>283786.71</v>
      </c>
      <c r="W145" s="230"/>
    </row>
    <row r="146" spans="1:23" s="232" customFormat="1" ht="12.75" hidden="1" outlineLevel="1">
      <c r="A146" s="230" t="s">
        <v>2167</v>
      </c>
      <c r="B146" s="231"/>
      <c r="C146" s="231" t="s">
        <v>2168</v>
      </c>
      <c r="D146" s="231" t="s">
        <v>2169</v>
      </c>
      <c r="E146" s="256">
        <v>196861.15</v>
      </c>
      <c r="F146" s="256">
        <v>17.5</v>
      </c>
      <c r="G146" s="256"/>
      <c r="H146" s="257">
        <v>0</v>
      </c>
      <c r="I146" s="257">
        <v>0</v>
      </c>
      <c r="J146" s="257">
        <v>0</v>
      </c>
      <c r="K146" s="257">
        <v>0</v>
      </c>
      <c r="L146" s="257">
        <v>0</v>
      </c>
      <c r="M146" s="257">
        <v>0</v>
      </c>
      <c r="N146" s="257">
        <v>0</v>
      </c>
      <c r="O146" s="257">
        <v>0</v>
      </c>
      <c r="P146" s="257">
        <v>0</v>
      </c>
      <c r="Q146" s="257">
        <v>0</v>
      </c>
      <c r="R146" s="257">
        <v>0</v>
      </c>
      <c r="S146" s="257">
        <v>0</v>
      </c>
      <c r="T146" s="256">
        <v>0</v>
      </c>
      <c r="U146" s="256">
        <v>0</v>
      </c>
      <c r="V146" s="256">
        <f t="shared" si="6"/>
        <v>196878.65</v>
      </c>
      <c r="W146" s="230"/>
    </row>
    <row r="147" spans="1:23" s="232" customFormat="1" ht="12.75" hidden="1" outlineLevel="1">
      <c r="A147" s="230" t="s">
        <v>2170</v>
      </c>
      <c r="B147" s="231"/>
      <c r="C147" s="231" t="s">
        <v>2171</v>
      </c>
      <c r="D147" s="231" t="s">
        <v>2172</v>
      </c>
      <c r="E147" s="256">
        <v>47435.02</v>
      </c>
      <c r="F147" s="256">
        <v>0</v>
      </c>
      <c r="G147" s="256"/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0</v>
      </c>
      <c r="N147" s="257">
        <v>0</v>
      </c>
      <c r="O147" s="257">
        <v>0</v>
      </c>
      <c r="P147" s="257">
        <v>0</v>
      </c>
      <c r="Q147" s="257">
        <v>0</v>
      </c>
      <c r="R147" s="257">
        <v>0</v>
      </c>
      <c r="S147" s="257">
        <v>0</v>
      </c>
      <c r="T147" s="256">
        <v>0</v>
      </c>
      <c r="U147" s="256">
        <v>0</v>
      </c>
      <c r="V147" s="256">
        <f t="shared" si="6"/>
        <v>47435.02</v>
      </c>
      <c r="W147" s="230"/>
    </row>
    <row r="148" spans="1:23" s="232" customFormat="1" ht="12.75" hidden="1" outlineLevel="1">
      <c r="A148" s="230" t="s">
        <v>2173</v>
      </c>
      <c r="B148" s="231"/>
      <c r="C148" s="231" t="s">
        <v>2174</v>
      </c>
      <c r="D148" s="231" t="s">
        <v>2175</v>
      </c>
      <c r="E148" s="256">
        <v>1299.51</v>
      </c>
      <c r="F148" s="256">
        <v>0</v>
      </c>
      <c r="G148" s="256"/>
      <c r="H148" s="257">
        <v>0</v>
      </c>
      <c r="I148" s="257">
        <v>0</v>
      </c>
      <c r="J148" s="257">
        <v>0</v>
      </c>
      <c r="K148" s="257">
        <v>0</v>
      </c>
      <c r="L148" s="257">
        <v>0</v>
      </c>
      <c r="M148" s="257">
        <v>0</v>
      </c>
      <c r="N148" s="257">
        <v>0</v>
      </c>
      <c r="O148" s="257">
        <v>0</v>
      </c>
      <c r="P148" s="257">
        <v>0</v>
      </c>
      <c r="Q148" s="257">
        <v>0</v>
      </c>
      <c r="R148" s="257">
        <v>0</v>
      </c>
      <c r="S148" s="257">
        <v>0</v>
      </c>
      <c r="T148" s="256">
        <v>0</v>
      </c>
      <c r="U148" s="256">
        <v>0</v>
      </c>
      <c r="V148" s="256">
        <f t="shared" si="6"/>
        <v>1299.51</v>
      </c>
      <c r="W148" s="230"/>
    </row>
    <row r="149" spans="1:23" s="232" customFormat="1" ht="12.75" hidden="1" outlineLevel="1">
      <c r="A149" s="230" t="s">
        <v>2176</v>
      </c>
      <c r="B149" s="231"/>
      <c r="C149" s="231" t="s">
        <v>2177</v>
      </c>
      <c r="D149" s="231" t="s">
        <v>2178</v>
      </c>
      <c r="E149" s="256">
        <v>3920</v>
      </c>
      <c r="F149" s="256">
        <v>0</v>
      </c>
      <c r="G149" s="256"/>
      <c r="H149" s="257">
        <v>0</v>
      </c>
      <c r="I149" s="257">
        <v>0</v>
      </c>
      <c r="J149" s="257">
        <v>0</v>
      </c>
      <c r="K149" s="257">
        <v>0</v>
      </c>
      <c r="L149" s="257">
        <v>0</v>
      </c>
      <c r="M149" s="257">
        <v>0</v>
      </c>
      <c r="N149" s="257">
        <v>0</v>
      </c>
      <c r="O149" s="257">
        <v>0</v>
      </c>
      <c r="P149" s="257">
        <v>0</v>
      </c>
      <c r="Q149" s="257">
        <v>0</v>
      </c>
      <c r="R149" s="257">
        <v>0</v>
      </c>
      <c r="S149" s="257">
        <v>0</v>
      </c>
      <c r="T149" s="256">
        <v>0</v>
      </c>
      <c r="U149" s="256">
        <v>0</v>
      </c>
      <c r="V149" s="256">
        <f t="shared" si="6"/>
        <v>3920</v>
      </c>
      <c r="W149" s="230"/>
    </row>
    <row r="150" spans="1:23" s="232" customFormat="1" ht="12.75" hidden="1" outlineLevel="1">
      <c r="A150" s="230" t="s">
        <v>2185</v>
      </c>
      <c r="B150" s="231"/>
      <c r="C150" s="231" t="s">
        <v>2186</v>
      </c>
      <c r="D150" s="231" t="s">
        <v>2187</v>
      </c>
      <c r="E150" s="256">
        <v>1010.76</v>
      </c>
      <c r="F150" s="256">
        <v>0</v>
      </c>
      <c r="G150" s="256"/>
      <c r="H150" s="257">
        <v>0</v>
      </c>
      <c r="I150" s="257">
        <v>0</v>
      </c>
      <c r="J150" s="257">
        <v>0</v>
      </c>
      <c r="K150" s="257">
        <v>0</v>
      </c>
      <c r="L150" s="257">
        <v>0</v>
      </c>
      <c r="M150" s="257">
        <v>0</v>
      </c>
      <c r="N150" s="257">
        <v>0</v>
      </c>
      <c r="O150" s="257">
        <v>0</v>
      </c>
      <c r="P150" s="257">
        <v>0</v>
      </c>
      <c r="Q150" s="257">
        <v>0</v>
      </c>
      <c r="R150" s="257">
        <v>0</v>
      </c>
      <c r="S150" s="257">
        <v>0</v>
      </c>
      <c r="T150" s="256">
        <v>0</v>
      </c>
      <c r="U150" s="256">
        <v>0</v>
      </c>
      <c r="V150" s="256">
        <f t="shared" si="6"/>
        <v>1010.76</v>
      </c>
      <c r="W150" s="230"/>
    </row>
    <row r="151" spans="1:23" s="232" customFormat="1" ht="12.75" hidden="1" outlineLevel="1">
      <c r="A151" s="230" t="s">
        <v>2188</v>
      </c>
      <c r="B151" s="231"/>
      <c r="C151" s="231" t="s">
        <v>2189</v>
      </c>
      <c r="D151" s="231" t="s">
        <v>2190</v>
      </c>
      <c r="E151" s="256">
        <v>1395.64</v>
      </c>
      <c r="F151" s="256">
        <v>0</v>
      </c>
      <c r="G151" s="256"/>
      <c r="H151" s="257">
        <v>0</v>
      </c>
      <c r="I151" s="257">
        <v>0</v>
      </c>
      <c r="J151" s="257">
        <v>0</v>
      </c>
      <c r="K151" s="257">
        <v>0</v>
      </c>
      <c r="L151" s="257">
        <v>0</v>
      </c>
      <c r="M151" s="257">
        <v>0</v>
      </c>
      <c r="N151" s="257">
        <v>0</v>
      </c>
      <c r="O151" s="257">
        <v>0</v>
      </c>
      <c r="P151" s="257">
        <v>0</v>
      </c>
      <c r="Q151" s="257">
        <v>0</v>
      </c>
      <c r="R151" s="257">
        <v>0</v>
      </c>
      <c r="S151" s="257">
        <v>0</v>
      </c>
      <c r="T151" s="256">
        <v>0</v>
      </c>
      <c r="U151" s="256">
        <v>0</v>
      </c>
      <c r="V151" s="256">
        <f t="shared" si="6"/>
        <v>1395.64</v>
      </c>
      <c r="W151" s="230"/>
    </row>
    <row r="152" spans="1:23" s="232" customFormat="1" ht="12.75" hidden="1" outlineLevel="1">
      <c r="A152" s="230" t="s">
        <v>2191</v>
      </c>
      <c r="B152" s="231"/>
      <c r="C152" s="231" t="s">
        <v>2192</v>
      </c>
      <c r="D152" s="231" t="s">
        <v>2193</v>
      </c>
      <c r="E152" s="256">
        <v>21502.81</v>
      </c>
      <c r="F152" s="256">
        <v>1639</v>
      </c>
      <c r="G152" s="256"/>
      <c r="H152" s="257">
        <v>0</v>
      </c>
      <c r="I152" s="257">
        <v>13</v>
      </c>
      <c r="J152" s="257">
        <v>0</v>
      </c>
      <c r="K152" s="257">
        <v>0</v>
      </c>
      <c r="L152" s="257">
        <v>0</v>
      </c>
      <c r="M152" s="257">
        <v>0</v>
      </c>
      <c r="N152" s="257">
        <v>0</v>
      </c>
      <c r="O152" s="257">
        <v>0</v>
      </c>
      <c r="P152" s="257">
        <v>0</v>
      </c>
      <c r="Q152" s="257">
        <v>0</v>
      </c>
      <c r="R152" s="257">
        <v>0</v>
      </c>
      <c r="S152" s="257">
        <v>0</v>
      </c>
      <c r="T152" s="256">
        <v>13</v>
      </c>
      <c r="U152" s="256">
        <v>0</v>
      </c>
      <c r="V152" s="256">
        <f t="shared" si="6"/>
        <v>23154.81</v>
      </c>
      <c r="W152" s="230"/>
    </row>
    <row r="153" spans="1:23" s="232" customFormat="1" ht="12.75" hidden="1" outlineLevel="1">
      <c r="A153" s="230" t="s">
        <v>2194</v>
      </c>
      <c r="B153" s="231"/>
      <c r="C153" s="231" t="s">
        <v>2195</v>
      </c>
      <c r="D153" s="231" t="s">
        <v>2196</v>
      </c>
      <c r="E153" s="256">
        <v>67900.09</v>
      </c>
      <c r="F153" s="256">
        <v>14470.67</v>
      </c>
      <c r="G153" s="256"/>
      <c r="H153" s="257">
        <v>0</v>
      </c>
      <c r="I153" s="257">
        <v>70</v>
      </c>
      <c r="J153" s="257">
        <v>0</v>
      </c>
      <c r="K153" s="257">
        <v>0</v>
      </c>
      <c r="L153" s="257">
        <v>0</v>
      </c>
      <c r="M153" s="257">
        <v>0</v>
      </c>
      <c r="N153" s="257">
        <v>0</v>
      </c>
      <c r="O153" s="257">
        <v>0</v>
      </c>
      <c r="P153" s="257">
        <v>0</v>
      </c>
      <c r="Q153" s="257">
        <v>0</v>
      </c>
      <c r="R153" s="257">
        <v>0</v>
      </c>
      <c r="S153" s="257">
        <v>0</v>
      </c>
      <c r="T153" s="256">
        <v>70</v>
      </c>
      <c r="U153" s="256">
        <v>0</v>
      </c>
      <c r="V153" s="256">
        <f t="shared" si="6"/>
        <v>82440.76</v>
      </c>
      <c r="W153" s="230"/>
    </row>
    <row r="154" spans="1:23" s="232" customFormat="1" ht="12.75" hidden="1" outlineLevel="1">
      <c r="A154" s="230" t="s">
        <v>2197</v>
      </c>
      <c r="B154" s="231"/>
      <c r="C154" s="231" t="s">
        <v>2198</v>
      </c>
      <c r="D154" s="231" t="s">
        <v>2199</v>
      </c>
      <c r="E154" s="256">
        <v>459774.63</v>
      </c>
      <c r="F154" s="256">
        <v>51635.46</v>
      </c>
      <c r="G154" s="256"/>
      <c r="H154" s="257">
        <v>0</v>
      </c>
      <c r="I154" s="257">
        <v>92</v>
      </c>
      <c r="J154" s="257">
        <v>0</v>
      </c>
      <c r="K154" s="257">
        <v>0</v>
      </c>
      <c r="L154" s="257">
        <v>0</v>
      </c>
      <c r="M154" s="257">
        <v>0</v>
      </c>
      <c r="N154" s="257">
        <v>0</v>
      </c>
      <c r="O154" s="257">
        <v>0</v>
      </c>
      <c r="P154" s="257">
        <v>0</v>
      </c>
      <c r="Q154" s="257">
        <v>0</v>
      </c>
      <c r="R154" s="257">
        <v>0</v>
      </c>
      <c r="S154" s="257">
        <v>63</v>
      </c>
      <c r="T154" s="256">
        <v>155</v>
      </c>
      <c r="U154" s="256">
        <v>0</v>
      </c>
      <c r="V154" s="256">
        <f t="shared" si="6"/>
        <v>511565.09</v>
      </c>
      <c r="W154" s="230"/>
    </row>
    <row r="155" spans="1:23" s="232" customFormat="1" ht="12.75" hidden="1" outlineLevel="1">
      <c r="A155" s="230" t="s">
        <v>2200</v>
      </c>
      <c r="B155" s="231"/>
      <c r="C155" s="231" t="s">
        <v>2201</v>
      </c>
      <c r="D155" s="231" t="s">
        <v>2202</v>
      </c>
      <c r="E155" s="256">
        <v>45078.8</v>
      </c>
      <c r="F155" s="256">
        <v>6716.28</v>
      </c>
      <c r="G155" s="256"/>
      <c r="H155" s="257">
        <v>0</v>
      </c>
      <c r="I155" s="257">
        <v>0</v>
      </c>
      <c r="J155" s="257">
        <v>0</v>
      </c>
      <c r="K155" s="257">
        <v>0</v>
      </c>
      <c r="L155" s="257">
        <v>0</v>
      </c>
      <c r="M155" s="257">
        <v>0</v>
      </c>
      <c r="N155" s="257">
        <v>0</v>
      </c>
      <c r="O155" s="257">
        <v>0</v>
      </c>
      <c r="P155" s="257">
        <v>0</v>
      </c>
      <c r="Q155" s="257">
        <v>0</v>
      </c>
      <c r="R155" s="257">
        <v>0</v>
      </c>
      <c r="S155" s="257">
        <v>0</v>
      </c>
      <c r="T155" s="256">
        <v>0</v>
      </c>
      <c r="U155" s="256">
        <v>0</v>
      </c>
      <c r="V155" s="256">
        <f t="shared" si="6"/>
        <v>51795.08</v>
      </c>
      <c r="W155" s="230"/>
    </row>
    <row r="156" spans="1:23" s="232" customFormat="1" ht="12.75" hidden="1" outlineLevel="1">
      <c r="A156" s="230" t="s">
        <v>2203</v>
      </c>
      <c r="B156" s="231"/>
      <c r="C156" s="231" t="s">
        <v>2204</v>
      </c>
      <c r="D156" s="231" t="s">
        <v>2205</v>
      </c>
      <c r="E156" s="256">
        <v>138117.26</v>
      </c>
      <c r="F156" s="256">
        <v>0</v>
      </c>
      <c r="G156" s="256"/>
      <c r="H156" s="257">
        <v>0</v>
      </c>
      <c r="I156" s="257">
        <v>0</v>
      </c>
      <c r="J156" s="257">
        <v>0</v>
      </c>
      <c r="K156" s="257">
        <v>0</v>
      </c>
      <c r="L156" s="257">
        <v>0</v>
      </c>
      <c r="M156" s="257">
        <v>0</v>
      </c>
      <c r="N156" s="257">
        <v>0</v>
      </c>
      <c r="O156" s="257">
        <v>0</v>
      </c>
      <c r="P156" s="257">
        <v>0</v>
      </c>
      <c r="Q156" s="257">
        <v>0</v>
      </c>
      <c r="R156" s="257">
        <v>0</v>
      </c>
      <c r="S156" s="257">
        <v>0</v>
      </c>
      <c r="T156" s="256">
        <v>0</v>
      </c>
      <c r="U156" s="256">
        <v>0</v>
      </c>
      <c r="V156" s="256">
        <f t="shared" si="6"/>
        <v>138117.26</v>
      </c>
      <c r="W156" s="230"/>
    </row>
    <row r="157" spans="1:23" s="232" customFormat="1" ht="12.75" hidden="1" outlineLevel="1">
      <c r="A157" s="230" t="s">
        <v>2206</v>
      </c>
      <c r="B157" s="231"/>
      <c r="C157" s="231" t="s">
        <v>2207</v>
      </c>
      <c r="D157" s="231" t="s">
        <v>2208</v>
      </c>
      <c r="E157" s="256">
        <v>41950.08</v>
      </c>
      <c r="F157" s="256">
        <v>1100</v>
      </c>
      <c r="G157" s="256"/>
      <c r="H157" s="257">
        <v>0</v>
      </c>
      <c r="I157" s="257">
        <v>269</v>
      </c>
      <c r="J157" s="257">
        <v>0</v>
      </c>
      <c r="K157" s="257">
        <v>0</v>
      </c>
      <c r="L157" s="257">
        <v>0</v>
      </c>
      <c r="M157" s="257">
        <v>0</v>
      </c>
      <c r="N157" s="257">
        <v>0</v>
      </c>
      <c r="O157" s="257">
        <v>0</v>
      </c>
      <c r="P157" s="257">
        <v>0</v>
      </c>
      <c r="Q157" s="257">
        <v>0</v>
      </c>
      <c r="R157" s="257">
        <v>0</v>
      </c>
      <c r="S157" s="257">
        <v>995.21</v>
      </c>
      <c r="T157" s="256">
        <v>1264.21</v>
      </c>
      <c r="U157" s="256">
        <v>0</v>
      </c>
      <c r="V157" s="256">
        <f t="shared" si="6"/>
        <v>44314.29</v>
      </c>
      <c r="W157" s="230"/>
    </row>
    <row r="158" spans="1:23" s="232" customFormat="1" ht="12.75" hidden="1" outlineLevel="1">
      <c r="A158" s="230" t="s">
        <v>2209</v>
      </c>
      <c r="B158" s="231"/>
      <c r="C158" s="231" t="s">
        <v>2210</v>
      </c>
      <c r="D158" s="231" t="s">
        <v>2211</v>
      </c>
      <c r="E158" s="256">
        <v>3468.37</v>
      </c>
      <c r="F158" s="256">
        <v>11414.1</v>
      </c>
      <c r="G158" s="256"/>
      <c r="H158" s="257">
        <v>0</v>
      </c>
      <c r="I158" s="257">
        <v>0</v>
      </c>
      <c r="J158" s="257">
        <v>0</v>
      </c>
      <c r="K158" s="257">
        <v>0</v>
      </c>
      <c r="L158" s="257">
        <v>0</v>
      </c>
      <c r="M158" s="257">
        <v>0</v>
      </c>
      <c r="N158" s="257">
        <v>0</v>
      </c>
      <c r="O158" s="257">
        <v>0</v>
      </c>
      <c r="P158" s="257">
        <v>0</v>
      </c>
      <c r="Q158" s="257">
        <v>0</v>
      </c>
      <c r="R158" s="257">
        <v>0</v>
      </c>
      <c r="S158" s="257">
        <v>0</v>
      </c>
      <c r="T158" s="256">
        <v>0</v>
      </c>
      <c r="U158" s="256">
        <v>0</v>
      </c>
      <c r="V158" s="256">
        <f t="shared" si="6"/>
        <v>14882.470000000001</v>
      </c>
      <c r="W158" s="230"/>
    </row>
    <row r="159" spans="1:23" s="232" customFormat="1" ht="12.75" hidden="1" outlineLevel="1">
      <c r="A159" s="230" t="s">
        <v>2212</v>
      </c>
      <c r="B159" s="231"/>
      <c r="C159" s="231" t="s">
        <v>2213</v>
      </c>
      <c r="D159" s="231" t="s">
        <v>2214</v>
      </c>
      <c r="E159" s="256">
        <v>1826.53</v>
      </c>
      <c r="F159" s="256">
        <v>0</v>
      </c>
      <c r="G159" s="256"/>
      <c r="H159" s="257">
        <v>0</v>
      </c>
      <c r="I159" s="257">
        <v>0</v>
      </c>
      <c r="J159" s="257">
        <v>0</v>
      </c>
      <c r="K159" s="257">
        <v>0</v>
      </c>
      <c r="L159" s="257">
        <v>0</v>
      </c>
      <c r="M159" s="257">
        <v>0</v>
      </c>
      <c r="N159" s="257">
        <v>0</v>
      </c>
      <c r="O159" s="257">
        <v>0</v>
      </c>
      <c r="P159" s="257">
        <v>0</v>
      </c>
      <c r="Q159" s="257">
        <v>0</v>
      </c>
      <c r="R159" s="257">
        <v>0</v>
      </c>
      <c r="S159" s="257">
        <v>0</v>
      </c>
      <c r="T159" s="256">
        <v>0</v>
      </c>
      <c r="U159" s="256">
        <v>0</v>
      </c>
      <c r="V159" s="256">
        <f t="shared" si="6"/>
        <v>1826.53</v>
      </c>
      <c r="W159" s="230"/>
    </row>
    <row r="160" spans="1:23" s="232" customFormat="1" ht="12.75" hidden="1" outlineLevel="1">
      <c r="A160" s="230" t="s">
        <v>2215</v>
      </c>
      <c r="B160" s="231"/>
      <c r="C160" s="231" t="s">
        <v>2216</v>
      </c>
      <c r="D160" s="231" t="s">
        <v>2217</v>
      </c>
      <c r="E160" s="256">
        <v>7103.33</v>
      </c>
      <c r="F160" s="256">
        <v>0</v>
      </c>
      <c r="G160" s="256"/>
      <c r="H160" s="257">
        <v>0</v>
      </c>
      <c r="I160" s="257">
        <v>0</v>
      </c>
      <c r="J160" s="257">
        <v>0</v>
      </c>
      <c r="K160" s="257">
        <v>0</v>
      </c>
      <c r="L160" s="257">
        <v>0</v>
      </c>
      <c r="M160" s="257">
        <v>0</v>
      </c>
      <c r="N160" s="257">
        <v>0</v>
      </c>
      <c r="O160" s="257">
        <v>0</v>
      </c>
      <c r="P160" s="257">
        <v>0</v>
      </c>
      <c r="Q160" s="257">
        <v>0</v>
      </c>
      <c r="R160" s="257">
        <v>0</v>
      </c>
      <c r="S160" s="257">
        <v>0</v>
      </c>
      <c r="T160" s="256">
        <v>0</v>
      </c>
      <c r="U160" s="256">
        <v>0</v>
      </c>
      <c r="V160" s="256">
        <f t="shared" si="6"/>
        <v>7103.33</v>
      </c>
      <c r="W160" s="230"/>
    </row>
    <row r="161" spans="1:23" s="232" customFormat="1" ht="12.75" hidden="1" outlineLevel="1">
      <c r="A161" s="230" t="s">
        <v>2218</v>
      </c>
      <c r="B161" s="231"/>
      <c r="C161" s="231" t="s">
        <v>2219</v>
      </c>
      <c r="D161" s="231" t="s">
        <v>2220</v>
      </c>
      <c r="E161" s="256">
        <v>3921.85</v>
      </c>
      <c r="F161" s="256">
        <v>0</v>
      </c>
      <c r="G161" s="256"/>
      <c r="H161" s="257">
        <v>0</v>
      </c>
      <c r="I161" s="257">
        <v>0</v>
      </c>
      <c r="J161" s="257">
        <v>0</v>
      </c>
      <c r="K161" s="257">
        <v>0</v>
      </c>
      <c r="L161" s="257">
        <v>0</v>
      </c>
      <c r="M161" s="257">
        <v>0</v>
      </c>
      <c r="N161" s="257">
        <v>0</v>
      </c>
      <c r="O161" s="257">
        <v>0</v>
      </c>
      <c r="P161" s="257">
        <v>0</v>
      </c>
      <c r="Q161" s="257">
        <v>0</v>
      </c>
      <c r="R161" s="257">
        <v>0</v>
      </c>
      <c r="S161" s="257">
        <v>0</v>
      </c>
      <c r="T161" s="256">
        <v>0</v>
      </c>
      <c r="U161" s="256">
        <v>0</v>
      </c>
      <c r="V161" s="256">
        <f t="shared" si="6"/>
        <v>3921.85</v>
      </c>
      <c r="W161" s="230"/>
    </row>
    <row r="162" spans="1:23" s="232" customFormat="1" ht="12.75" hidden="1" outlineLevel="1">
      <c r="A162" s="230" t="s">
        <v>2221</v>
      </c>
      <c r="B162" s="231"/>
      <c r="C162" s="231" t="s">
        <v>2222</v>
      </c>
      <c r="D162" s="231" t="s">
        <v>2223</v>
      </c>
      <c r="E162" s="256">
        <v>441044.7</v>
      </c>
      <c r="F162" s="256">
        <v>463.7</v>
      </c>
      <c r="G162" s="256"/>
      <c r="H162" s="257">
        <v>0</v>
      </c>
      <c r="I162" s="257">
        <v>715.23</v>
      </c>
      <c r="J162" s="257">
        <v>0</v>
      </c>
      <c r="K162" s="257">
        <v>0</v>
      </c>
      <c r="L162" s="257">
        <v>9.42</v>
      </c>
      <c r="M162" s="257">
        <v>0</v>
      </c>
      <c r="N162" s="257">
        <v>0</v>
      </c>
      <c r="O162" s="257">
        <v>0</v>
      </c>
      <c r="P162" s="257">
        <v>17794.82</v>
      </c>
      <c r="Q162" s="257">
        <v>0</v>
      </c>
      <c r="R162" s="257">
        <v>0.4</v>
      </c>
      <c r="S162" s="257">
        <v>7731.64</v>
      </c>
      <c r="T162" s="256">
        <v>26251.51</v>
      </c>
      <c r="U162" s="256">
        <v>0</v>
      </c>
      <c r="V162" s="256">
        <f t="shared" si="6"/>
        <v>467759.91000000003</v>
      </c>
      <c r="W162" s="230"/>
    </row>
    <row r="163" spans="1:23" s="232" customFormat="1" ht="12.75" hidden="1" outlineLevel="1">
      <c r="A163" s="230" t="s">
        <v>2224</v>
      </c>
      <c r="B163" s="231"/>
      <c r="C163" s="231" t="s">
        <v>2225</v>
      </c>
      <c r="D163" s="231" t="s">
        <v>2226</v>
      </c>
      <c r="E163" s="256">
        <v>8371.64</v>
      </c>
      <c r="F163" s="256">
        <v>811.7</v>
      </c>
      <c r="G163" s="256"/>
      <c r="H163" s="257">
        <v>0</v>
      </c>
      <c r="I163" s="257">
        <v>0</v>
      </c>
      <c r="J163" s="257">
        <v>0</v>
      </c>
      <c r="K163" s="257">
        <v>0</v>
      </c>
      <c r="L163" s="257">
        <v>0</v>
      </c>
      <c r="M163" s="257">
        <v>0</v>
      </c>
      <c r="N163" s="257">
        <v>0</v>
      </c>
      <c r="O163" s="257">
        <v>0</v>
      </c>
      <c r="P163" s="257">
        <v>0</v>
      </c>
      <c r="Q163" s="257">
        <v>0</v>
      </c>
      <c r="R163" s="257">
        <v>0</v>
      </c>
      <c r="S163" s="257">
        <v>0</v>
      </c>
      <c r="T163" s="256">
        <v>0</v>
      </c>
      <c r="U163" s="256">
        <v>0</v>
      </c>
      <c r="V163" s="256">
        <f t="shared" si="6"/>
        <v>9183.34</v>
      </c>
      <c r="W163" s="230"/>
    </row>
    <row r="164" spans="1:23" s="232" customFormat="1" ht="12.75" hidden="1" outlineLevel="1">
      <c r="A164" s="230" t="s">
        <v>2227</v>
      </c>
      <c r="B164" s="231"/>
      <c r="C164" s="231" t="s">
        <v>2228</v>
      </c>
      <c r="D164" s="231" t="s">
        <v>2229</v>
      </c>
      <c r="E164" s="256">
        <v>1200.93</v>
      </c>
      <c r="F164" s="256">
        <v>3225.52</v>
      </c>
      <c r="G164" s="256"/>
      <c r="H164" s="257">
        <v>0</v>
      </c>
      <c r="I164" s="257">
        <v>0</v>
      </c>
      <c r="J164" s="257">
        <v>0</v>
      </c>
      <c r="K164" s="257">
        <v>0</v>
      </c>
      <c r="L164" s="257">
        <v>0</v>
      </c>
      <c r="M164" s="257">
        <v>0</v>
      </c>
      <c r="N164" s="257">
        <v>0</v>
      </c>
      <c r="O164" s="257">
        <v>0</v>
      </c>
      <c r="P164" s="257">
        <v>0</v>
      </c>
      <c r="Q164" s="257">
        <v>0</v>
      </c>
      <c r="R164" s="257">
        <v>0</v>
      </c>
      <c r="S164" s="257">
        <v>0</v>
      </c>
      <c r="T164" s="256">
        <v>0</v>
      </c>
      <c r="U164" s="256">
        <v>0</v>
      </c>
      <c r="V164" s="256">
        <f t="shared" si="6"/>
        <v>4426.45</v>
      </c>
      <c r="W164" s="230"/>
    </row>
    <row r="165" spans="1:23" s="232" customFormat="1" ht="12.75" hidden="1" outlineLevel="1">
      <c r="A165" s="230" t="s">
        <v>2230</v>
      </c>
      <c r="B165" s="231"/>
      <c r="C165" s="231" t="s">
        <v>2231</v>
      </c>
      <c r="D165" s="231" t="s">
        <v>2232</v>
      </c>
      <c r="E165" s="256">
        <v>5712.69</v>
      </c>
      <c r="F165" s="256">
        <v>206.13</v>
      </c>
      <c r="G165" s="256"/>
      <c r="H165" s="257">
        <v>0</v>
      </c>
      <c r="I165" s="257">
        <v>39.33</v>
      </c>
      <c r="J165" s="257">
        <v>0</v>
      </c>
      <c r="K165" s="257">
        <v>0</v>
      </c>
      <c r="L165" s="257">
        <v>0</v>
      </c>
      <c r="M165" s="257">
        <v>0</v>
      </c>
      <c r="N165" s="257">
        <v>0</v>
      </c>
      <c r="O165" s="257">
        <v>0</v>
      </c>
      <c r="P165" s="257">
        <v>385.71</v>
      </c>
      <c r="Q165" s="257">
        <v>0</v>
      </c>
      <c r="R165" s="257">
        <v>0</v>
      </c>
      <c r="S165" s="257">
        <v>0</v>
      </c>
      <c r="T165" s="256">
        <v>425.04</v>
      </c>
      <c r="U165" s="256">
        <v>0</v>
      </c>
      <c r="V165" s="256">
        <f t="shared" si="6"/>
        <v>6343.86</v>
      </c>
      <c r="W165" s="230"/>
    </row>
    <row r="166" spans="1:23" s="232" customFormat="1" ht="12.75" hidden="1" outlineLevel="1">
      <c r="A166" s="230" t="s">
        <v>2233</v>
      </c>
      <c r="B166" s="231"/>
      <c r="C166" s="231" t="s">
        <v>2234</v>
      </c>
      <c r="D166" s="231" t="s">
        <v>2235</v>
      </c>
      <c r="E166" s="256">
        <v>1209.12</v>
      </c>
      <c r="F166" s="256">
        <v>0</v>
      </c>
      <c r="G166" s="256"/>
      <c r="H166" s="257">
        <v>0</v>
      </c>
      <c r="I166" s="257">
        <v>0</v>
      </c>
      <c r="J166" s="257">
        <v>0</v>
      </c>
      <c r="K166" s="257">
        <v>0</v>
      </c>
      <c r="L166" s="257">
        <v>0</v>
      </c>
      <c r="M166" s="257">
        <v>0</v>
      </c>
      <c r="N166" s="257">
        <v>0</v>
      </c>
      <c r="O166" s="257">
        <v>0</v>
      </c>
      <c r="P166" s="257">
        <v>0</v>
      </c>
      <c r="Q166" s="257">
        <v>0</v>
      </c>
      <c r="R166" s="257">
        <v>0</v>
      </c>
      <c r="S166" s="257">
        <v>0</v>
      </c>
      <c r="T166" s="256">
        <v>0</v>
      </c>
      <c r="U166" s="256">
        <v>0</v>
      </c>
      <c r="V166" s="256">
        <f t="shared" si="6"/>
        <v>1209.12</v>
      </c>
      <c r="W166" s="230"/>
    </row>
    <row r="167" spans="1:23" s="232" customFormat="1" ht="12.75" hidden="1" outlineLevel="1">
      <c r="A167" s="230" t="s">
        <v>2236</v>
      </c>
      <c r="B167" s="231"/>
      <c r="C167" s="231" t="s">
        <v>2237</v>
      </c>
      <c r="D167" s="231" t="s">
        <v>2238</v>
      </c>
      <c r="E167" s="256">
        <v>3613.35</v>
      </c>
      <c r="F167" s="256">
        <v>67730.2</v>
      </c>
      <c r="G167" s="256"/>
      <c r="H167" s="257">
        <v>0</v>
      </c>
      <c r="I167" s="257">
        <v>0</v>
      </c>
      <c r="J167" s="257">
        <v>0</v>
      </c>
      <c r="K167" s="257">
        <v>0</v>
      </c>
      <c r="L167" s="257">
        <v>0</v>
      </c>
      <c r="M167" s="257">
        <v>0</v>
      </c>
      <c r="N167" s="257">
        <v>0</v>
      </c>
      <c r="O167" s="257">
        <v>0</v>
      </c>
      <c r="P167" s="257">
        <v>0</v>
      </c>
      <c r="Q167" s="257">
        <v>0</v>
      </c>
      <c r="R167" s="257">
        <v>0</v>
      </c>
      <c r="S167" s="257">
        <v>0</v>
      </c>
      <c r="T167" s="256">
        <v>0</v>
      </c>
      <c r="U167" s="256">
        <v>0</v>
      </c>
      <c r="V167" s="256">
        <f aca="true" t="shared" si="7" ref="V167:V230">E167+F167+G167+T167+U167</f>
        <v>71343.55</v>
      </c>
      <c r="W167" s="230"/>
    </row>
    <row r="168" spans="1:23" s="232" customFormat="1" ht="12.75" hidden="1" outlineLevel="1">
      <c r="A168" s="230" t="s">
        <v>2239</v>
      </c>
      <c r="B168" s="231"/>
      <c r="C168" s="231" t="s">
        <v>2240</v>
      </c>
      <c r="D168" s="231" t="s">
        <v>2241</v>
      </c>
      <c r="E168" s="256">
        <v>828508.04</v>
      </c>
      <c r="F168" s="256">
        <v>31337.91</v>
      </c>
      <c r="G168" s="256"/>
      <c r="H168" s="257">
        <v>617.76</v>
      </c>
      <c r="I168" s="257">
        <v>5527.27</v>
      </c>
      <c r="J168" s="257">
        <v>1328.77</v>
      </c>
      <c r="K168" s="257">
        <v>0</v>
      </c>
      <c r="L168" s="257">
        <v>0</v>
      </c>
      <c r="M168" s="257">
        <v>1485.48</v>
      </c>
      <c r="N168" s="257">
        <v>0</v>
      </c>
      <c r="O168" s="257">
        <v>651.39</v>
      </c>
      <c r="P168" s="257">
        <v>7115.61</v>
      </c>
      <c r="Q168" s="257">
        <v>0</v>
      </c>
      <c r="R168" s="257">
        <v>276025.1</v>
      </c>
      <c r="S168" s="257">
        <v>5724.08</v>
      </c>
      <c r="T168" s="256">
        <v>298475.46</v>
      </c>
      <c r="U168" s="256">
        <v>0</v>
      </c>
      <c r="V168" s="256">
        <f t="shared" si="7"/>
        <v>1158321.4100000001</v>
      </c>
      <c r="W168" s="230"/>
    </row>
    <row r="169" spans="1:23" s="232" customFormat="1" ht="12.75" hidden="1" outlineLevel="1">
      <c r="A169" s="230" t="s">
        <v>2242</v>
      </c>
      <c r="B169" s="231"/>
      <c r="C169" s="231" t="s">
        <v>2243</v>
      </c>
      <c r="D169" s="231" t="s">
        <v>2244</v>
      </c>
      <c r="E169" s="256">
        <v>22323.13</v>
      </c>
      <c r="F169" s="256">
        <v>38.11</v>
      </c>
      <c r="G169" s="256"/>
      <c r="H169" s="257">
        <v>0</v>
      </c>
      <c r="I169" s="257">
        <v>0</v>
      </c>
      <c r="J169" s="257">
        <v>0</v>
      </c>
      <c r="K169" s="257">
        <v>0</v>
      </c>
      <c r="L169" s="257">
        <v>0</v>
      </c>
      <c r="M169" s="257">
        <v>0</v>
      </c>
      <c r="N169" s="257">
        <v>0</v>
      </c>
      <c r="O169" s="257">
        <v>0</v>
      </c>
      <c r="P169" s="257">
        <v>0</v>
      </c>
      <c r="Q169" s="257">
        <v>0</v>
      </c>
      <c r="R169" s="257">
        <v>1239.4</v>
      </c>
      <c r="S169" s="257">
        <v>0</v>
      </c>
      <c r="T169" s="256">
        <v>1239.4</v>
      </c>
      <c r="U169" s="256">
        <v>0</v>
      </c>
      <c r="V169" s="256">
        <f t="shared" si="7"/>
        <v>23600.640000000003</v>
      </c>
      <c r="W169" s="230"/>
    </row>
    <row r="170" spans="1:23" s="232" customFormat="1" ht="12.75" hidden="1" outlineLevel="1">
      <c r="A170" s="230" t="s">
        <v>2245</v>
      </c>
      <c r="B170" s="231"/>
      <c r="C170" s="231" t="s">
        <v>2246</v>
      </c>
      <c r="D170" s="231" t="s">
        <v>2247</v>
      </c>
      <c r="E170" s="256">
        <v>20690.5</v>
      </c>
      <c r="F170" s="256">
        <v>0</v>
      </c>
      <c r="G170" s="256"/>
      <c r="H170" s="257">
        <v>0</v>
      </c>
      <c r="I170" s="257">
        <v>131</v>
      </c>
      <c r="J170" s="257">
        <v>0</v>
      </c>
      <c r="K170" s="257">
        <v>0</v>
      </c>
      <c r="L170" s="257">
        <v>0</v>
      </c>
      <c r="M170" s="257">
        <v>0</v>
      </c>
      <c r="N170" s="257">
        <v>0</v>
      </c>
      <c r="O170" s="257">
        <v>0</v>
      </c>
      <c r="P170" s="257">
        <v>375</v>
      </c>
      <c r="Q170" s="257">
        <v>0</v>
      </c>
      <c r="R170" s="257">
        <v>250</v>
      </c>
      <c r="S170" s="257">
        <v>500</v>
      </c>
      <c r="T170" s="256">
        <v>1256</v>
      </c>
      <c r="U170" s="256">
        <v>0</v>
      </c>
      <c r="V170" s="256">
        <f t="shared" si="7"/>
        <v>21946.5</v>
      </c>
      <c r="W170" s="230"/>
    </row>
    <row r="171" spans="1:23" s="232" customFormat="1" ht="12.75" hidden="1" outlineLevel="1">
      <c r="A171" s="230" t="s">
        <v>2248</v>
      </c>
      <c r="B171" s="231"/>
      <c r="C171" s="231" t="s">
        <v>2249</v>
      </c>
      <c r="D171" s="231" t="s">
        <v>2250</v>
      </c>
      <c r="E171" s="256">
        <v>162</v>
      </c>
      <c r="F171" s="256">
        <v>0</v>
      </c>
      <c r="G171" s="256"/>
      <c r="H171" s="257">
        <v>0</v>
      </c>
      <c r="I171" s="257">
        <v>0</v>
      </c>
      <c r="J171" s="257">
        <v>0</v>
      </c>
      <c r="K171" s="257">
        <v>0</v>
      </c>
      <c r="L171" s="257">
        <v>0</v>
      </c>
      <c r="M171" s="257">
        <v>0</v>
      </c>
      <c r="N171" s="257">
        <v>0</v>
      </c>
      <c r="O171" s="257">
        <v>0</v>
      </c>
      <c r="P171" s="257">
        <v>0</v>
      </c>
      <c r="Q171" s="257">
        <v>0</v>
      </c>
      <c r="R171" s="257">
        <v>0</v>
      </c>
      <c r="S171" s="257">
        <v>0</v>
      </c>
      <c r="T171" s="256">
        <v>0</v>
      </c>
      <c r="U171" s="256">
        <v>0</v>
      </c>
      <c r="V171" s="256">
        <f t="shared" si="7"/>
        <v>162</v>
      </c>
      <c r="W171" s="230"/>
    </row>
    <row r="172" spans="1:23" s="232" customFormat="1" ht="12.75" hidden="1" outlineLevel="1">
      <c r="A172" s="230" t="s">
        <v>2251</v>
      </c>
      <c r="B172" s="231"/>
      <c r="C172" s="231" t="s">
        <v>2252</v>
      </c>
      <c r="D172" s="231" t="s">
        <v>2253</v>
      </c>
      <c r="E172" s="256">
        <v>5028.78</v>
      </c>
      <c r="F172" s="256">
        <v>576.02</v>
      </c>
      <c r="G172" s="256"/>
      <c r="H172" s="257">
        <v>0</v>
      </c>
      <c r="I172" s="257">
        <v>671.22</v>
      </c>
      <c r="J172" s="257">
        <v>0</v>
      </c>
      <c r="K172" s="257">
        <v>0</v>
      </c>
      <c r="L172" s="257">
        <v>0</v>
      </c>
      <c r="M172" s="257">
        <v>0</v>
      </c>
      <c r="N172" s="257">
        <v>0</v>
      </c>
      <c r="O172" s="257">
        <v>0</v>
      </c>
      <c r="P172" s="257">
        <v>0</v>
      </c>
      <c r="Q172" s="257">
        <v>0</v>
      </c>
      <c r="R172" s="257">
        <v>0</v>
      </c>
      <c r="S172" s="257">
        <v>0</v>
      </c>
      <c r="T172" s="256">
        <v>671.22</v>
      </c>
      <c r="U172" s="256">
        <v>0</v>
      </c>
      <c r="V172" s="256">
        <f t="shared" si="7"/>
        <v>6276.0199999999995</v>
      </c>
      <c r="W172" s="230"/>
    </row>
    <row r="173" spans="1:23" s="232" customFormat="1" ht="12.75" hidden="1" outlineLevel="1">
      <c r="A173" s="230" t="s">
        <v>2254</v>
      </c>
      <c r="B173" s="231"/>
      <c r="C173" s="231" t="s">
        <v>2255</v>
      </c>
      <c r="D173" s="231" t="s">
        <v>2256</v>
      </c>
      <c r="E173" s="256">
        <v>16260.3</v>
      </c>
      <c r="F173" s="256">
        <v>299</v>
      </c>
      <c r="G173" s="256"/>
      <c r="H173" s="257">
        <v>0</v>
      </c>
      <c r="I173" s="257">
        <v>1726.9</v>
      </c>
      <c r="J173" s="257">
        <v>6.5</v>
      </c>
      <c r="K173" s="257">
        <v>0</v>
      </c>
      <c r="L173" s="257">
        <v>0</v>
      </c>
      <c r="M173" s="257">
        <v>0</v>
      </c>
      <c r="N173" s="257">
        <v>0</v>
      </c>
      <c r="O173" s="257">
        <v>78</v>
      </c>
      <c r="P173" s="257">
        <v>78</v>
      </c>
      <c r="Q173" s="257">
        <v>0</v>
      </c>
      <c r="R173" s="257">
        <v>78</v>
      </c>
      <c r="S173" s="257">
        <v>702</v>
      </c>
      <c r="T173" s="256">
        <v>2669.4</v>
      </c>
      <c r="U173" s="256">
        <v>0</v>
      </c>
      <c r="V173" s="256">
        <f t="shared" si="7"/>
        <v>19228.7</v>
      </c>
      <c r="W173" s="230"/>
    </row>
    <row r="174" spans="1:23" s="232" customFormat="1" ht="12.75" hidden="1" outlineLevel="1">
      <c r="A174" s="230" t="s">
        <v>2257</v>
      </c>
      <c r="B174" s="231"/>
      <c r="C174" s="231" t="s">
        <v>2258</v>
      </c>
      <c r="D174" s="231" t="s">
        <v>2259</v>
      </c>
      <c r="E174" s="256">
        <v>83564.68</v>
      </c>
      <c r="F174" s="256">
        <v>2437.23</v>
      </c>
      <c r="G174" s="256"/>
      <c r="H174" s="257">
        <v>0</v>
      </c>
      <c r="I174" s="257">
        <v>516.85</v>
      </c>
      <c r="J174" s="257">
        <v>63.12</v>
      </c>
      <c r="K174" s="257">
        <v>0</v>
      </c>
      <c r="L174" s="257">
        <v>0</v>
      </c>
      <c r="M174" s="257">
        <v>31.99</v>
      </c>
      <c r="N174" s="257">
        <v>0</v>
      </c>
      <c r="O174" s="257">
        <v>16.74</v>
      </c>
      <c r="P174" s="257">
        <v>266.69</v>
      </c>
      <c r="Q174" s="257">
        <v>0</v>
      </c>
      <c r="R174" s="257">
        <v>129.74</v>
      </c>
      <c r="S174" s="257">
        <v>67.57</v>
      </c>
      <c r="T174" s="256">
        <v>1092.7</v>
      </c>
      <c r="U174" s="256">
        <v>0</v>
      </c>
      <c r="V174" s="256">
        <f t="shared" si="7"/>
        <v>87094.60999999999</v>
      </c>
      <c r="W174" s="230"/>
    </row>
    <row r="175" spans="1:23" s="232" customFormat="1" ht="12.75" hidden="1" outlineLevel="1">
      <c r="A175" s="230" t="s">
        <v>2260</v>
      </c>
      <c r="B175" s="231"/>
      <c r="C175" s="231" t="s">
        <v>2261</v>
      </c>
      <c r="D175" s="231" t="s">
        <v>2262</v>
      </c>
      <c r="E175" s="256">
        <v>131.34</v>
      </c>
      <c r="F175" s="256">
        <v>0</v>
      </c>
      <c r="G175" s="256"/>
      <c r="H175" s="257">
        <v>0</v>
      </c>
      <c r="I175" s="257">
        <v>0</v>
      </c>
      <c r="J175" s="257">
        <v>0</v>
      </c>
      <c r="K175" s="257">
        <v>0</v>
      </c>
      <c r="L175" s="257">
        <v>0</v>
      </c>
      <c r="M175" s="257">
        <v>0</v>
      </c>
      <c r="N175" s="257">
        <v>0</v>
      </c>
      <c r="O175" s="257">
        <v>0</v>
      </c>
      <c r="P175" s="257">
        <v>0</v>
      </c>
      <c r="Q175" s="257">
        <v>0</v>
      </c>
      <c r="R175" s="257">
        <v>0</v>
      </c>
      <c r="S175" s="257">
        <v>0</v>
      </c>
      <c r="T175" s="256">
        <v>0</v>
      </c>
      <c r="U175" s="256">
        <v>0</v>
      </c>
      <c r="V175" s="256">
        <f t="shared" si="7"/>
        <v>131.34</v>
      </c>
      <c r="W175" s="230"/>
    </row>
    <row r="176" spans="1:23" s="232" customFormat="1" ht="12.75" hidden="1" outlineLevel="1">
      <c r="A176" s="230" t="s">
        <v>2263</v>
      </c>
      <c r="B176" s="231"/>
      <c r="C176" s="231" t="s">
        <v>2264</v>
      </c>
      <c r="D176" s="231" t="s">
        <v>2265</v>
      </c>
      <c r="E176" s="256">
        <v>426249.12</v>
      </c>
      <c r="F176" s="256">
        <v>99</v>
      </c>
      <c r="G176" s="256"/>
      <c r="H176" s="257">
        <v>0</v>
      </c>
      <c r="I176" s="257">
        <v>14.98</v>
      </c>
      <c r="J176" s="257">
        <v>0</v>
      </c>
      <c r="K176" s="257">
        <v>0</v>
      </c>
      <c r="L176" s="257">
        <v>310.97</v>
      </c>
      <c r="M176" s="257">
        <v>0</v>
      </c>
      <c r="N176" s="257">
        <v>0</v>
      </c>
      <c r="O176" s="257">
        <v>0</v>
      </c>
      <c r="P176" s="257">
        <v>126.94</v>
      </c>
      <c r="Q176" s="257">
        <v>0</v>
      </c>
      <c r="R176" s="257">
        <v>1784.12</v>
      </c>
      <c r="S176" s="257">
        <v>0</v>
      </c>
      <c r="T176" s="256">
        <v>2237.01</v>
      </c>
      <c r="U176" s="256">
        <v>0</v>
      </c>
      <c r="V176" s="256">
        <f t="shared" si="7"/>
        <v>428585.13</v>
      </c>
      <c r="W176" s="230"/>
    </row>
    <row r="177" spans="1:23" s="232" customFormat="1" ht="12.75" hidden="1" outlineLevel="1">
      <c r="A177" s="230" t="s">
        <v>2266</v>
      </c>
      <c r="B177" s="231"/>
      <c r="C177" s="231" t="s">
        <v>2267</v>
      </c>
      <c r="D177" s="231" t="s">
        <v>2268</v>
      </c>
      <c r="E177" s="256">
        <v>445201.24</v>
      </c>
      <c r="F177" s="256">
        <v>0</v>
      </c>
      <c r="G177" s="256"/>
      <c r="H177" s="257">
        <v>0</v>
      </c>
      <c r="I177" s="257">
        <v>0</v>
      </c>
      <c r="J177" s="257">
        <v>109.86</v>
      </c>
      <c r="K177" s="257">
        <v>0</v>
      </c>
      <c r="L177" s="257">
        <v>0</v>
      </c>
      <c r="M177" s="257">
        <v>136.14</v>
      </c>
      <c r="N177" s="257">
        <v>0</v>
      </c>
      <c r="O177" s="257">
        <v>0</v>
      </c>
      <c r="P177" s="257">
        <v>0</v>
      </c>
      <c r="Q177" s="257">
        <v>0</v>
      </c>
      <c r="R177" s="257">
        <v>0</v>
      </c>
      <c r="S177" s="257">
        <v>0</v>
      </c>
      <c r="T177" s="256">
        <v>246</v>
      </c>
      <c r="U177" s="256">
        <v>0</v>
      </c>
      <c r="V177" s="256">
        <f t="shared" si="7"/>
        <v>445447.24</v>
      </c>
      <c r="W177" s="230"/>
    </row>
    <row r="178" spans="1:23" s="232" customFormat="1" ht="12.75" hidden="1" outlineLevel="1">
      <c r="A178" s="230" t="s">
        <v>2272</v>
      </c>
      <c r="B178" s="231"/>
      <c r="C178" s="231" t="s">
        <v>2273</v>
      </c>
      <c r="D178" s="231" t="s">
        <v>2274</v>
      </c>
      <c r="E178" s="256">
        <v>353633.9</v>
      </c>
      <c r="F178" s="256">
        <v>0</v>
      </c>
      <c r="G178" s="256"/>
      <c r="H178" s="257">
        <v>0</v>
      </c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  <c r="O178" s="257">
        <v>0</v>
      </c>
      <c r="P178" s="257">
        <v>0</v>
      </c>
      <c r="Q178" s="257">
        <v>0</v>
      </c>
      <c r="R178" s="257">
        <v>0</v>
      </c>
      <c r="S178" s="257">
        <v>0</v>
      </c>
      <c r="T178" s="256">
        <v>0</v>
      </c>
      <c r="U178" s="256">
        <v>0</v>
      </c>
      <c r="V178" s="256">
        <f t="shared" si="7"/>
        <v>353633.9</v>
      </c>
      <c r="W178" s="230"/>
    </row>
    <row r="179" spans="1:23" s="232" customFormat="1" ht="12.75" hidden="1" outlineLevel="1">
      <c r="A179" s="230" t="s">
        <v>2275</v>
      </c>
      <c r="B179" s="231"/>
      <c r="C179" s="231" t="s">
        <v>2276</v>
      </c>
      <c r="D179" s="231" t="s">
        <v>2277</v>
      </c>
      <c r="E179" s="256">
        <v>109919.27</v>
      </c>
      <c r="F179" s="256">
        <v>55.04</v>
      </c>
      <c r="G179" s="256"/>
      <c r="H179" s="257">
        <v>0</v>
      </c>
      <c r="I179" s="257">
        <v>4025.74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  <c r="O179" s="257">
        <v>0</v>
      </c>
      <c r="P179" s="257">
        <v>245.88</v>
      </c>
      <c r="Q179" s="257">
        <v>0</v>
      </c>
      <c r="R179" s="257">
        <v>0</v>
      </c>
      <c r="S179" s="257">
        <v>235.7</v>
      </c>
      <c r="T179" s="256">
        <v>4507.32</v>
      </c>
      <c r="U179" s="256">
        <v>0</v>
      </c>
      <c r="V179" s="256">
        <f t="shared" si="7"/>
        <v>114481.63</v>
      </c>
      <c r="W179" s="230"/>
    </row>
    <row r="180" spans="1:23" s="232" customFormat="1" ht="12.75" hidden="1" outlineLevel="1">
      <c r="A180" s="230" t="s">
        <v>2278</v>
      </c>
      <c r="B180" s="231"/>
      <c r="C180" s="231" t="s">
        <v>2279</v>
      </c>
      <c r="D180" s="231" t="s">
        <v>2280</v>
      </c>
      <c r="E180" s="256">
        <v>38190.32</v>
      </c>
      <c r="F180" s="256">
        <v>119452.44</v>
      </c>
      <c r="G180" s="256"/>
      <c r="H180" s="257">
        <v>0</v>
      </c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  <c r="O180" s="257">
        <v>0</v>
      </c>
      <c r="P180" s="257">
        <v>0</v>
      </c>
      <c r="Q180" s="257">
        <v>0</v>
      </c>
      <c r="R180" s="257">
        <v>0</v>
      </c>
      <c r="S180" s="257">
        <v>0</v>
      </c>
      <c r="T180" s="256">
        <v>0</v>
      </c>
      <c r="U180" s="256">
        <v>0</v>
      </c>
      <c r="V180" s="256">
        <f t="shared" si="7"/>
        <v>157642.76</v>
      </c>
      <c r="W180" s="230"/>
    </row>
    <row r="181" spans="1:23" s="232" customFormat="1" ht="12.75" hidden="1" outlineLevel="1">
      <c r="A181" s="230" t="s">
        <v>2281</v>
      </c>
      <c r="B181" s="231"/>
      <c r="C181" s="231" t="s">
        <v>2282</v>
      </c>
      <c r="D181" s="231" t="s">
        <v>2283</v>
      </c>
      <c r="E181" s="256">
        <v>643461.01</v>
      </c>
      <c r="F181" s="256">
        <v>0</v>
      </c>
      <c r="G181" s="256"/>
      <c r="H181" s="257">
        <v>0</v>
      </c>
      <c r="I181" s="257">
        <v>2728.78</v>
      </c>
      <c r="J181" s="257">
        <v>1736.51</v>
      </c>
      <c r="K181" s="257">
        <v>0</v>
      </c>
      <c r="L181" s="257">
        <v>0</v>
      </c>
      <c r="M181" s="257">
        <v>0</v>
      </c>
      <c r="N181" s="257">
        <v>0</v>
      </c>
      <c r="O181" s="257">
        <v>0</v>
      </c>
      <c r="P181" s="257">
        <v>248.07</v>
      </c>
      <c r="Q181" s="257">
        <v>0</v>
      </c>
      <c r="R181" s="257">
        <v>0</v>
      </c>
      <c r="S181" s="257">
        <v>-12868.28</v>
      </c>
      <c r="T181" s="256">
        <v>-8154.92</v>
      </c>
      <c r="U181" s="256">
        <v>0</v>
      </c>
      <c r="V181" s="256">
        <f t="shared" si="7"/>
        <v>635306.09</v>
      </c>
      <c r="W181" s="230"/>
    </row>
    <row r="182" spans="1:23" s="232" customFormat="1" ht="12.75" hidden="1" outlineLevel="1">
      <c r="A182" s="230" t="s">
        <v>2284</v>
      </c>
      <c r="B182" s="231"/>
      <c r="C182" s="231" t="s">
        <v>2285</v>
      </c>
      <c r="D182" s="231" t="s">
        <v>2286</v>
      </c>
      <c r="E182" s="256">
        <v>419562.21</v>
      </c>
      <c r="F182" s="256">
        <v>26640.06</v>
      </c>
      <c r="G182" s="256"/>
      <c r="H182" s="257">
        <v>0</v>
      </c>
      <c r="I182" s="257">
        <v>1135.6</v>
      </c>
      <c r="J182" s="257">
        <v>0</v>
      </c>
      <c r="K182" s="257">
        <v>0</v>
      </c>
      <c r="L182" s="257">
        <v>0</v>
      </c>
      <c r="M182" s="257">
        <v>8</v>
      </c>
      <c r="N182" s="257">
        <v>0</v>
      </c>
      <c r="O182" s="257">
        <v>990.5</v>
      </c>
      <c r="P182" s="257">
        <v>19415.42</v>
      </c>
      <c r="Q182" s="257">
        <v>0</v>
      </c>
      <c r="R182" s="257">
        <v>5813.46</v>
      </c>
      <c r="S182" s="257">
        <v>6578.26</v>
      </c>
      <c r="T182" s="256">
        <v>33941.24</v>
      </c>
      <c r="U182" s="256">
        <v>0</v>
      </c>
      <c r="V182" s="256">
        <f t="shared" si="7"/>
        <v>480143.51</v>
      </c>
      <c r="W182" s="230"/>
    </row>
    <row r="183" spans="1:23" s="232" customFormat="1" ht="12.75" hidden="1" outlineLevel="1">
      <c r="A183" s="230" t="s">
        <v>2287</v>
      </c>
      <c r="B183" s="231"/>
      <c r="C183" s="231" t="s">
        <v>2288</v>
      </c>
      <c r="D183" s="231" t="s">
        <v>2289</v>
      </c>
      <c r="E183" s="256">
        <v>226020.86</v>
      </c>
      <c r="F183" s="256">
        <v>5626.91</v>
      </c>
      <c r="G183" s="256"/>
      <c r="H183" s="257">
        <v>0</v>
      </c>
      <c r="I183" s="257">
        <v>62.72</v>
      </c>
      <c r="J183" s="257">
        <v>0</v>
      </c>
      <c r="K183" s="257">
        <v>0</v>
      </c>
      <c r="L183" s="257">
        <v>0</v>
      </c>
      <c r="M183" s="257">
        <v>0</v>
      </c>
      <c r="N183" s="257">
        <v>0</v>
      </c>
      <c r="O183" s="257">
        <v>0</v>
      </c>
      <c r="P183" s="257">
        <v>102585.81</v>
      </c>
      <c r="Q183" s="257">
        <v>0</v>
      </c>
      <c r="R183" s="257">
        <v>750</v>
      </c>
      <c r="S183" s="257">
        <v>0</v>
      </c>
      <c r="T183" s="256">
        <v>103398.53</v>
      </c>
      <c r="U183" s="256">
        <v>0</v>
      </c>
      <c r="V183" s="256">
        <f t="shared" si="7"/>
        <v>335046.3</v>
      </c>
      <c r="W183" s="230"/>
    </row>
    <row r="184" spans="1:23" s="232" customFormat="1" ht="12.75" hidden="1" outlineLevel="1">
      <c r="A184" s="230" t="s">
        <v>2290</v>
      </c>
      <c r="B184" s="231"/>
      <c r="C184" s="231" t="s">
        <v>2291</v>
      </c>
      <c r="D184" s="231" t="s">
        <v>2292</v>
      </c>
      <c r="E184" s="256">
        <v>637887.09</v>
      </c>
      <c r="F184" s="256">
        <v>44742.27</v>
      </c>
      <c r="G184" s="256"/>
      <c r="H184" s="257">
        <v>0</v>
      </c>
      <c r="I184" s="257">
        <v>2173.74</v>
      </c>
      <c r="J184" s="257">
        <v>265.02</v>
      </c>
      <c r="K184" s="257">
        <v>0</v>
      </c>
      <c r="L184" s="257">
        <v>480</v>
      </c>
      <c r="M184" s="257">
        <v>0</v>
      </c>
      <c r="N184" s="257">
        <v>0</v>
      </c>
      <c r="O184" s="257">
        <v>0</v>
      </c>
      <c r="P184" s="257">
        <v>38651.24</v>
      </c>
      <c r="Q184" s="257">
        <v>0</v>
      </c>
      <c r="R184" s="257">
        <v>0</v>
      </c>
      <c r="S184" s="257">
        <v>2706.61</v>
      </c>
      <c r="T184" s="256">
        <v>44276.61</v>
      </c>
      <c r="U184" s="256">
        <v>0</v>
      </c>
      <c r="V184" s="256">
        <f t="shared" si="7"/>
        <v>726905.97</v>
      </c>
      <c r="W184" s="230"/>
    </row>
    <row r="185" spans="1:23" s="232" customFormat="1" ht="12.75" hidden="1" outlineLevel="1">
      <c r="A185" s="230" t="s">
        <v>2293</v>
      </c>
      <c r="B185" s="231"/>
      <c r="C185" s="231" t="s">
        <v>2294</v>
      </c>
      <c r="D185" s="231" t="s">
        <v>2295</v>
      </c>
      <c r="E185" s="256">
        <v>51235.76</v>
      </c>
      <c r="F185" s="256">
        <v>10157.76</v>
      </c>
      <c r="G185" s="256"/>
      <c r="H185" s="257">
        <v>0</v>
      </c>
      <c r="I185" s="257">
        <v>0</v>
      </c>
      <c r="J185" s="257">
        <v>0</v>
      </c>
      <c r="K185" s="257">
        <v>0</v>
      </c>
      <c r="L185" s="257">
        <v>0</v>
      </c>
      <c r="M185" s="257">
        <v>0</v>
      </c>
      <c r="N185" s="257">
        <v>0</v>
      </c>
      <c r="O185" s="257">
        <v>0</v>
      </c>
      <c r="P185" s="257">
        <v>0</v>
      </c>
      <c r="Q185" s="257">
        <v>0</v>
      </c>
      <c r="R185" s="257">
        <v>0</v>
      </c>
      <c r="S185" s="257">
        <v>0</v>
      </c>
      <c r="T185" s="256">
        <v>0</v>
      </c>
      <c r="U185" s="256">
        <v>0</v>
      </c>
      <c r="V185" s="256">
        <f t="shared" si="7"/>
        <v>61393.520000000004</v>
      </c>
      <c r="W185" s="230"/>
    </row>
    <row r="186" spans="1:23" s="232" customFormat="1" ht="12.75" hidden="1" outlineLevel="1">
      <c r="A186" s="230" t="s">
        <v>2296</v>
      </c>
      <c r="B186" s="231"/>
      <c r="C186" s="231" t="s">
        <v>2297</v>
      </c>
      <c r="D186" s="231" t="s">
        <v>2298</v>
      </c>
      <c r="E186" s="256">
        <v>1572387.94</v>
      </c>
      <c r="F186" s="256">
        <v>92410.52</v>
      </c>
      <c r="G186" s="256"/>
      <c r="H186" s="257">
        <v>378.62</v>
      </c>
      <c r="I186" s="257">
        <v>10099.04</v>
      </c>
      <c r="J186" s="257">
        <v>26801.38</v>
      </c>
      <c r="K186" s="257">
        <v>53934.85</v>
      </c>
      <c r="L186" s="257">
        <v>-10943.21</v>
      </c>
      <c r="M186" s="257">
        <v>19327.11</v>
      </c>
      <c r="N186" s="257">
        <v>0</v>
      </c>
      <c r="O186" s="257">
        <v>347.79</v>
      </c>
      <c r="P186" s="257">
        <v>5540.26</v>
      </c>
      <c r="Q186" s="257">
        <v>0</v>
      </c>
      <c r="R186" s="257">
        <v>557.56</v>
      </c>
      <c r="S186" s="257">
        <v>4877.74</v>
      </c>
      <c r="T186" s="256">
        <v>110921.14</v>
      </c>
      <c r="U186" s="256">
        <v>0</v>
      </c>
      <c r="V186" s="256">
        <f t="shared" si="7"/>
        <v>1775719.5999999999</v>
      </c>
      <c r="W186" s="230"/>
    </row>
    <row r="187" spans="1:23" s="232" customFormat="1" ht="12.75" hidden="1" outlineLevel="1">
      <c r="A187" s="230" t="s">
        <v>2299</v>
      </c>
      <c r="B187" s="231"/>
      <c r="C187" s="231" t="s">
        <v>2300</v>
      </c>
      <c r="D187" s="231" t="s">
        <v>2301</v>
      </c>
      <c r="E187" s="256">
        <v>241968.58</v>
      </c>
      <c r="F187" s="256">
        <v>7328.29</v>
      </c>
      <c r="G187" s="256"/>
      <c r="H187" s="257">
        <v>136.72</v>
      </c>
      <c r="I187" s="257">
        <v>1313.58</v>
      </c>
      <c r="J187" s="257">
        <v>36.6</v>
      </c>
      <c r="K187" s="257">
        <v>0</v>
      </c>
      <c r="L187" s="257">
        <v>2772</v>
      </c>
      <c r="M187" s="257">
        <v>118.44</v>
      </c>
      <c r="N187" s="257">
        <v>0</v>
      </c>
      <c r="O187" s="257">
        <v>17.87</v>
      </c>
      <c r="P187" s="257">
        <v>1156.74</v>
      </c>
      <c r="Q187" s="257">
        <v>0</v>
      </c>
      <c r="R187" s="257">
        <v>0</v>
      </c>
      <c r="S187" s="257">
        <v>146.4</v>
      </c>
      <c r="T187" s="256">
        <v>5698.35</v>
      </c>
      <c r="U187" s="256">
        <v>0</v>
      </c>
      <c r="V187" s="256">
        <f t="shared" si="7"/>
        <v>254995.22</v>
      </c>
      <c r="W187" s="230"/>
    </row>
    <row r="188" spans="1:23" s="232" customFormat="1" ht="12.75" hidden="1" outlineLevel="1">
      <c r="A188" s="230" t="s">
        <v>2302</v>
      </c>
      <c r="B188" s="231"/>
      <c r="C188" s="231" t="s">
        <v>2303</v>
      </c>
      <c r="D188" s="231" t="s">
        <v>2304</v>
      </c>
      <c r="E188" s="256">
        <v>85.16</v>
      </c>
      <c r="F188" s="256">
        <v>0</v>
      </c>
      <c r="G188" s="256"/>
      <c r="H188" s="257">
        <v>0</v>
      </c>
      <c r="I188" s="257">
        <v>0</v>
      </c>
      <c r="J188" s="257">
        <v>0</v>
      </c>
      <c r="K188" s="257">
        <v>0</v>
      </c>
      <c r="L188" s="257">
        <v>0</v>
      </c>
      <c r="M188" s="257">
        <v>0</v>
      </c>
      <c r="N188" s="257">
        <v>0</v>
      </c>
      <c r="O188" s="257">
        <v>0</v>
      </c>
      <c r="P188" s="257">
        <v>0</v>
      </c>
      <c r="Q188" s="257">
        <v>0</v>
      </c>
      <c r="R188" s="257">
        <v>0</v>
      </c>
      <c r="S188" s="257">
        <v>0</v>
      </c>
      <c r="T188" s="256">
        <v>0</v>
      </c>
      <c r="U188" s="256">
        <v>0</v>
      </c>
      <c r="V188" s="256">
        <f t="shared" si="7"/>
        <v>85.16</v>
      </c>
      <c r="W188" s="230"/>
    </row>
    <row r="189" spans="1:23" s="232" customFormat="1" ht="12.75" hidden="1" outlineLevel="1">
      <c r="A189" s="230" t="s">
        <v>2308</v>
      </c>
      <c r="B189" s="231"/>
      <c r="C189" s="231" t="s">
        <v>2309</v>
      </c>
      <c r="D189" s="231" t="s">
        <v>2310</v>
      </c>
      <c r="E189" s="256">
        <v>2633.56</v>
      </c>
      <c r="F189" s="256">
        <v>0</v>
      </c>
      <c r="G189" s="256"/>
      <c r="H189" s="257">
        <v>0</v>
      </c>
      <c r="I189" s="257">
        <v>29.92</v>
      </c>
      <c r="J189" s="257">
        <v>0</v>
      </c>
      <c r="K189" s="257">
        <v>0</v>
      </c>
      <c r="L189" s="257">
        <v>0</v>
      </c>
      <c r="M189" s="257">
        <v>0</v>
      </c>
      <c r="N189" s="257">
        <v>0</v>
      </c>
      <c r="O189" s="257">
        <v>0</v>
      </c>
      <c r="P189" s="257">
        <v>0</v>
      </c>
      <c r="Q189" s="257">
        <v>0</v>
      </c>
      <c r="R189" s="257">
        <v>0</v>
      </c>
      <c r="S189" s="257">
        <v>0</v>
      </c>
      <c r="T189" s="256">
        <v>29.92</v>
      </c>
      <c r="U189" s="256">
        <v>0</v>
      </c>
      <c r="V189" s="256">
        <f t="shared" si="7"/>
        <v>2663.48</v>
      </c>
      <c r="W189" s="230"/>
    </row>
    <row r="190" spans="1:23" s="232" customFormat="1" ht="12.75" hidden="1" outlineLevel="1">
      <c r="A190" s="230" t="s">
        <v>2311</v>
      </c>
      <c r="B190" s="231"/>
      <c r="C190" s="231" t="s">
        <v>2312</v>
      </c>
      <c r="D190" s="231" t="s">
        <v>2313</v>
      </c>
      <c r="E190" s="256">
        <v>63356.25</v>
      </c>
      <c r="F190" s="256">
        <v>1747.5</v>
      </c>
      <c r="G190" s="256"/>
      <c r="H190" s="257">
        <v>0</v>
      </c>
      <c r="I190" s="257">
        <v>721.45</v>
      </c>
      <c r="J190" s="257">
        <v>0</v>
      </c>
      <c r="K190" s="257">
        <v>0</v>
      </c>
      <c r="L190" s="257">
        <v>0</v>
      </c>
      <c r="M190" s="257">
        <v>0</v>
      </c>
      <c r="N190" s="257">
        <v>0</v>
      </c>
      <c r="O190" s="257">
        <v>0</v>
      </c>
      <c r="P190" s="257">
        <v>0</v>
      </c>
      <c r="Q190" s="257">
        <v>0</v>
      </c>
      <c r="R190" s="257">
        <v>0</v>
      </c>
      <c r="S190" s="257">
        <v>0</v>
      </c>
      <c r="T190" s="256">
        <v>721.45</v>
      </c>
      <c r="U190" s="256">
        <v>0</v>
      </c>
      <c r="V190" s="256">
        <f t="shared" si="7"/>
        <v>65825.2</v>
      </c>
      <c r="W190" s="230"/>
    </row>
    <row r="191" spans="1:23" s="232" customFormat="1" ht="12.75" hidden="1" outlineLevel="1">
      <c r="A191" s="230" t="s">
        <v>2314</v>
      </c>
      <c r="B191" s="231"/>
      <c r="C191" s="231" t="s">
        <v>2315</v>
      </c>
      <c r="D191" s="231" t="s">
        <v>2316</v>
      </c>
      <c r="E191" s="256">
        <v>186391.92</v>
      </c>
      <c r="F191" s="256">
        <v>7474.19</v>
      </c>
      <c r="G191" s="256"/>
      <c r="H191" s="257">
        <v>0</v>
      </c>
      <c r="I191" s="257">
        <v>0</v>
      </c>
      <c r="J191" s="257">
        <v>0</v>
      </c>
      <c r="K191" s="257">
        <v>0</v>
      </c>
      <c r="L191" s="257">
        <v>0</v>
      </c>
      <c r="M191" s="257">
        <v>0</v>
      </c>
      <c r="N191" s="257">
        <v>0</v>
      </c>
      <c r="O191" s="257">
        <v>0</v>
      </c>
      <c r="P191" s="257">
        <v>0</v>
      </c>
      <c r="Q191" s="257">
        <v>0</v>
      </c>
      <c r="R191" s="257">
        <v>0</v>
      </c>
      <c r="S191" s="257">
        <v>0</v>
      </c>
      <c r="T191" s="256">
        <v>0</v>
      </c>
      <c r="U191" s="256">
        <v>0</v>
      </c>
      <c r="V191" s="256">
        <f t="shared" si="7"/>
        <v>193866.11000000002</v>
      </c>
      <c r="W191" s="230"/>
    </row>
    <row r="192" spans="1:23" s="232" customFormat="1" ht="12.75" hidden="1" outlineLevel="1">
      <c r="A192" s="230" t="s">
        <v>2320</v>
      </c>
      <c r="B192" s="231"/>
      <c r="C192" s="231" t="s">
        <v>2321</v>
      </c>
      <c r="D192" s="231" t="s">
        <v>2322</v>
      </c>
      <c r="E192" s="256">
        <v>9036.01</v>
      </c>
      <c r="F192" s="256">
        <v>0</v>
      </c>
      <c r="G192" s="256"/>
      <c r="H192" s="257">
        <v>0</v>
      </c>
      <c r="I192" s="257">
        <v>0</v>
      </c>
      <c r="J192" s="257">
        <v>0</v>
      </c>
      <c r="K192" s="257">
        <v>0</v>
      </c>
      <c r="L192" s="257">
        <v>0</v>
      </c>
      <c r="M192" s="257">
        <v>0</v>
      </c>
      <c r="N192" s="257">
        <v>0</v>
      </c>
      <c r="O192" s="257">
        <v>0</v>
      </c>
      <c r="P192" s="257">
        <v>0</v>
      </c>
      <c r="Q192" s="257">
        <v>0</v>
      </c>
      <c r="R192" s="257">
        <v>0</v>
      </c>
      <c r="S192" s="257">
        <v>0</v>
      </c>
      <c r="T192" s="256">
        <v>0</v>
      </c>
      <c r="U192" s="256">
        <v>0</v>
      </c>
      <c r="V192" s="256">
        <f t="shared" si="7"/>
        <v>9036.01</v>
      </c>
      <c r="W192" s="230"/>
    </row>
    <row r="193" spans="1:23" s="232" customFormat="1" ht="12.75" hidden="1" outlineLevel="1">
      <c r="A193" s="230" t="s">
        <v>2323</v>
      </c>
      <c r="B193" s="231"/>
      <c r="C193" s="231" t="s">
        <v>2324</v>
      </c>
      <c r="D193" s="231" t="s">
        <v>2325</v>
      </c>
      <c r="E193" s="256">
        <v>90769.42</v>
      </c>
      <c r="F193" s="256">
        <v>60.98</v>
      </c>
      <c r="G193" s="256"/>
      <c r="H193" s="257">
        <v>0</v>
      </c>
      <c r="I193" s="257">
        <v>0</v>
      </c>
      <c r="J193" s="257">
        <v>0</v>
      </c>
      <c r="K193" s="257">
        <v>32700.24</v>
      </c>
      <c r="L193" s="257">
        <v>0</v>
      </c>
      <c r="M193" s="257">
        <v>0</v>
      </c>
      <c r="N193" s="257">
        <v>0</v>
      </c>
      <c r="O193" s="257">
        <v>0</v>
      </c>
      <c r="P193" s="257">
        <v>0</v>
      </c>
      <c r="Q193" s="257">
        <v>0</v>
      </c>
      <c r="R193" s="257">
        <v>0</v>
      </c>
      <c r="S193" s="257">
        <v>0</v>
      </c>
      <c r="T193" s="256">
        <v>32700.24</v>
      </c>
      <c r="U193" s="256">
        <v>0</v>
      </c>
      <c r="V193" s="256">
        <f t="shared" si="7"/>
        <v>123530.64</v>
      </c>
      <c r="W193" s="230"/>
    </row>
    <row r="194" spans="1:23" s="232" customFormat="1" ht="12.75" hidden="1" outlineLevel="1">
      <c r="A194" s="230" t="s">
        <v>2326</v>
      </c>
      <c r="B194" s="231"/>
      <c r="C194" s="231" t="s">
        <v>2327</v>
      </c>
      <c r="D194" s="231" t="s">
        <v>2328</v>
      </c>
      <c r="E194" s="256">
        <v>4157.51</v>
      </c>
      <c r="F194" s="256">
        <v>3954.68</v>
      </c>
      <c r="G194" s="256"/>
      <c r="H194" s="257">
        <v>0</v>
      </c>
      <c r="I194" s="257">
        <v>0</v>
      </c>
      <c r="J194" s="257">
        <v>0</v>
      </c>
      <c r="K194" s="257">
        <v>0</v>
      </c>
      <c r="L194" s="257">
        <v>0</v>
      </c>
      <c r="M194" s="257">
        <v>0</v>
      </c>
      <c r="N194" s="257">
        <v>0</v>
      </c>
      <c r="O194" s="257">
        <v>0</v>
      </c>
      <c r="P194" s="257">
        <v>0</v>
      </c>
      <c r="Q194" s="257">
        <v>0</v>
      </c>
      <c r="R194" s="257">
        <v>0</v>
      </c>
      <c r="S194" s="257">
        <v>0</v>
      </c>
      <c r="T194" s="256">
        <v>0</v>
      </c>
      <c r="U194" s="256">
        <v>0</v>
      </c>
      <c r="V194" s="256">
        <f t="shared" si="7"/>
        <v>8112.1900000000005</v>
      </c>
      <c r="W194" s="230"/>
    </row>
    <row r="195" spans="1:23" s="232" customFormat="1" ht="12.75" hidden="1" outlineLevel="1">
      <c r="A195" s="230" t="s">
        <v>2329</v>
      </c>
      <c r="B195" s="231"/>
      <c r="C195" s="231" t="s">
        <v>2330</v>
      </c>
      <c r="D195" s="231" t="s">
        <v>2331</v>
      </c>
      <c r="E195" s="256">
        <v>8363.38</v>
      </c>
      <c r="F195" s="256">
        <v>19673.47</v>
      </c>
      <c r="G195" s="256"/>
      <c r="H195" s="257">
        <v>0</v>
      </c>
      <c r="I195" s="257">
        <v>0</v>
      </c>
      <c r="J195" s="257">
        <v>0</v>
      </c>
      <c r="K195" s="257">
        <v>0</v>
      </c>
      <c r="L195" s="257">
        <v>0</v>
      </c>
      <c r="M195" s="257">
        <v>0</v>
      </c>
      <c r="N195" s="257">
        <v>0</v>
      </c>
      <c r="O195" s="257">
        <v>0</v>
      </c>
      <c r="P195" s="257">
        <v>0</v>
      </c>
      <c r="Q195" s="257">
        <v>0</v>
      </c>
      <c r="R195" s="257">
        <v>0</v>
      </c>
      <c r="S195" s="257">
        <v>0</v>
      </c>
      <c r="T195" s="256">
        <v>0</v>
      </c>
      <c r="U195" s="256">
        <v>0</v>
      </c>
      <c r="V195" s="256">
        <f t="shared" si="7"/>
        <v>28036.85</v>
      </c>
      <c r="W195" s="230"/>
    </row>
    <row r="196" spans="1:23" s="232" customFormat="1" ht="12.75" hidden="1" outlineLevel="1">
      <c r="A196" s="230" t="s">
        <v>2332</v>
      </c>
      <c r="B196" s="231"/>
      <c r="C196" s="231" t="s">
        <v>2333</v>
      </c>
      <c r="D196" s="231" t="s">
        <v>2334</v>
      </c>
      <c r="E196" s="256">
        <v>30388.36</v>
      </c>
      <c r="F196" s="256">
        <v>0</v>
      </c>
      <c r="G196" s="256"/>
      <c r="H196" s="257">
        <v>127.5</v>
      </c>
      <c r="I196" s="257">
        <v>0</v>
      </c>
      <c r="J196" s="257">
        <v>435</v>
      </c>
      <c r="K196" s="257">
        <v>0</v>
      </c>
      <c r="L196" s="257">
        <v>0</v>
      </c>
      <c r="M196" s="257">
        <v>0</v>
      </c>
      <c r="N196" s="257">
        <v>0</v>
      </c>
      <c r="O196" s="257">
        <v>0</v>
      </c>
      <c r="P196" s="257">
        <v>0</v>
      </c>
      <c r="Q196" s="257">
        <v>0</v>
      </c>
      <c r="R196" s="257">
        <v>0</v>
      </c>
      <c r="S196" s="257">
        <v>4111.69</v>
      </c>
      <c r="T196" s="256">
        <v>4674.19</v>
      </c>
      <c r="U196" s="256">
        <v>0</v>
      </c>
      <c r="V196" s="256">
        <f t="shared" si="7"/>
        <v>35062.55</v>
      </c>
      <c r="W196" s="230"/>
    </row>
    <row r="197" spans="1:23" s="232" customFormat="1" ht="12.75" hidden="1" outlineLevel="1">
      <c r="A197" s="230" t="s">
        <v>2335</v>
      </c>
      <c r="B197" s="231"/>
      <c r="C197" s="231" t="s">
        <v>2336</v>
      </c>
      <c r="D197" s="231" t="s">
        <v>2337</v>
      </c>
      <c r="E197" s="256">
        <v>37086.74</v>
      </c>
      <c r="F197" s="256">
        <v>0</v>
      </c>
      <c r="G197" s="256"/>
      <c r="H197" s="257">
        <v>28.95</v>
      </c>
      <c r="I197" s="257">
        <v>3246.67</v>
      </c>
      <c r="J197" s="257">
        <v>7401.26</v>
      </c>
      <c r="K197" s="257">
        <v>0</v>
      </c>
      <c r="L197" s="257">
        <v>0</v>
      </c>
      <c r="M197" s="257">
        <v>0</v>
      </c>
      <c r="N197" s="257">
        <v>0</v>
      </c>
      <c r="O197" s="257">
        <v>0</v>
      </c>
      <c r="P197" s="257">
        <v>288.25</v>
      </c>
      <c r="Q197" s="257">
        <v>0</v>
      </c>
      <c r="R197" s="257">
        <v>0</v>
      </c>
      <c r="S197" s="257">
        <v>5228.69</v>
      </c>
      <c r="T197" s="256">
        <v>16193.82</v>
      </c>
      <c r="U197" s="256">
        <v>0</v>
      </c>
      <c r="V197" s="256">
        <f t="shared" si="7"/>
        <v>53280.56</v>
      </c>
      <c r="W197" s="230"/>
    </row>
    <row r="198" spans="1:23" s="232" customFormat="1" ht="12.75" hidden="1" outlineLevel="1">
      <c r="A198" s="230" t="s">
        <v>2338</v>
      </c>
      <c r="B198" s="231"/>
      <c r="C198" s="231" t="s">
        <v>2339</v>
      </c>
      <c r="D198" s="231" t="s">
        <v>2340</v>
      </c>
      <c r="E198" s="256">
        <v>6166.44</v>
      </c>
      <c r="F198" s="256">
        <v>0</v>
      </c>
      <c r="G198" s="256"/>
      <c r="H198" s="257">
        <v>101.14</v>
      </c>
      <c r="I198" s="257">
        <v>64.63</v>
      </c>
      <c r="J198" s="257">
        <v>0</v>
      </c>
      <c r="K198" s="257">
        <v>0</v>
      </c>
      <c r="L198" s="257">
        <v>0</v>
      </c>
      <c r="M198" s="257">
        <v>0</v>
      </c>
      <c r="N198" s="257">
        <v>0</v>
      </c>
      <c r="O198" s="257">
        <v>0</v>
      </c>
      <c r="P198" s="257">
        <v>0</v>
      </c>
      <c r="Q198" s="257">
        <v>0</v>
      </c>
      <c r="R198" s="257">
        <v>0</v>
      </c>
      <c r="S198" s="257">
        <v>204.52</v>
      </c>
      <c r="T198" s="256">
        <v>370.29</v>
      </c>
      <c r="U198" s="256">
        <v>0</v>
      </c>
      <c r="V198" s="256">
        <f t="shared" si="7"/>
        <v>6536.73</v>
      </c>
      <c r="W198" s="230"/>
    </row>
    <row r="199" spans="1:23" s="232" customFormat="1" ht="12.75" hidden="1" outlineLevel="1">
      <c r="A199" s="230" t="s">
        <v>2341</v>
      </c>
      <c r="B199" s="231"/>
      <c r="C199" s="231" t="s">
        <v>2342</v>
      </c>
      <c r="D199" s="231" t="s">
        <v>2343</v>
      </c>
      <c r="E199" s="256">
        <v>18550.2</v>
      </c>
      <c r="F199" s="256">
        <v>35.96</v>
      </c>
      <c r="G199" s="256"/>
      <c r="H199" s="257">
        <v>0</v>
      </c>
      <c r="I199" s="257">
        <v>0</v>
      </c>
      <c r="J199" s="257">
        <v>0</v>
      </c>
      <c r="K199" s="257">
        <v>0</v>
      </c>
      <c r="L199" s="257">
        <v>0</v>
      </c>
      <c r="M199" s="257">
        <v>0</v>
      </c>
      <c r="N199" s="257">
        <v>0</v>
      </c>
      <c r="O199" s="257">
        <v>0</v>
      </c>
      <c r="P199" s="257">
        <v>0</v>
      </c>
      <c r="Q199" s="257">
        <v>0</v>
      </c>
      <c r="R199" s="257">
        <v>0</v>
      </c>
      <c r="S199" s="257">
        <v>0</v>
      </c>
      <c r="T199" s="256">
        <v>0</v>
      </c>
      <c r="U199" s="256">
        <v>0</v>
      </c>
      <c r="V199" s="256">
        <f t="shared" si="7"/>
        <v>18586.16</v>
      </c>
      <c r="W199" s="230"/>
    </row>
    <row r="200" spans="1:23" s="232" customFormat="1" ht="12.75" hidden="1" outlineLevel="1">
      <c r="A200" s="230" t="s">
        <v>2344</v>
      </c>
      <c r="B200" s="231"/>
      <c r="C200" s="231" t="s">
        <v>2345</v>
      </c>
      <c r="D200" s="231" t="s">
        <v>2346</v>
      </c>
      <c r="E200" s="256">
        <v>2547.54</v>
      </c>
      <c r="F200" s="256">
        <v>402.75</v>
      </c>
      <c r="G200" s="256"/>
      <c r="H200" s="257">
        <v>0</v>
      </c>
      <c r="I200" s="257">
        <v>0</v>
      </c>
      <c r="J200" s="257">
        <v>0</v>
      </c>
      <c r="K200" s="257">
        <v>0</v>
      </c>
      <c r="L200" s="257">
        <v>0</v>
      </c>
      <c r="M200" s="257">
        <v>0</v>
      </c>
      <c r="N200" s="257">
        <v>0</v>
      </c>
      <c r="O200" s="257">
        <v>0</v>
      </c>
      <c r="P200" s="257">
        <v>0</v>
      </c>
      <c r="Q200" s="257">
        <v>0</v>
      </c>
      <c r="R200" s="257">
        <v>0</v>
      </c>
      <c r="S200" s="257">
        <v>29959.59</v>
      </c>
      <c r="T200" s="256">
        <v>29959.59</v>
      </c>
      <c r="U200" s="256">
        <v>0</v>
      </c>
      <c r="V200" s="256">
        <f t="shared" si="7"/>
        <v>32909.88</v>
      </c>
      <c r="W200" s="230"/>
    </row>
    <row r="201" spans="1:23" s="232" customFormat="1" ht="12.75" hidden="1" outlineLevel="1">
      <c r="A201" s="230" t="s">
        <v>2347</v>
      </c>
      <c r="B201" s="231"/>
      <c r="C201" s="231" t="s">
        <v>2348</v>
      </c>
      <c r="D201" s="231" t="s">
        <v>2349</v>
      </c>
      <c r="E201" s="256">
        <v>725.22</v>
      </c>
      <c r="F201" s="256">
        <v>0</v>
      </c>
      <c r="G201" s="256"/>
      <c r="H201" s="257">
        <v>0</v>
      </c>
      <c r="I201" s="257">
        <v>0</v>
      </c>
      <c r="J201" s="257">
        <v>0</v>
      </c>
      <c r="K201" s="257">
        <v>0</v>
      </c>
      <c r="L201" s="257">
        <v>0</v>
      </c>
      <c r="M201" s="257">
        <v>0</v>
      </c>
      <c r="N201" s="257">
        <v>0</v>
      </c>
      <c r="O201" s="257">
        <v>0</v>
      </c>
      <c r="P201" s="257">
        <v>0</v>
      </c>
      <c r="Q201" s="257">
        <v>0</v>
      </c>
      <c r="R201" s="257">
        <v>0</v>
      </c>
      <c r="S201" s="257">
        <v>0</v>
      </c>
      <c r="T201" s="256">
        <v>0</v>
      </c>
      <c r="U201" s="256">
        <v>0</v>
      </c>
      <c r="V201" s="256">
        <f t="shared" si="7"/>
        <v>725.22</v>
      </c>
      <c r="W201" s="230"/>
    </row>
    <row r="202" spans="1:23" s="232" customFormat="1" ht="12.75" hidden="1" outlineLevel="1">
      <c r="A202" s="230" t="s">
        <v>2353</v>
      </c>
      <c r="B202" s="231"/>
      <c r="C202" s="231" t="s">
        <v>2354</v>
      </c>
      <c r="D202" s="231" t="s">
        <v>2355</v>
      </c>
      <c r="E202" s="256">
        <v>362571.12</v>
      </c>
      <c r="F202" s="256">
        <v>0</v>
      </c>
      <c r="G202" s="256"/>
      <c r="H202" s="257">
        <v>361.81</v>
      </c>
      <c r="I202" s="257">
        <v>586.73</v>
      </c>
      <c r="J202" s="257">
        <v>1.79</v>
      </c>
      <c r="K202" s="257">
        <v>-8000</v>
      </c>
      <c r="L202" s="257">
        <v>0</v>
      </c>
      <c r="M202" s="257">
        <v>0</v>
      </c>
      <c r="N202" s="257">
        <v>0</v>
      </c>
      <c r="O202" s="257">
        <v>0</v>
      </c>
      <c r="P202" s="257">
        <v>1326.83</v>
      </c>
      <c r="Q202" s="257">
        <v>0</v>
      </c>
      <c r="R202" s="257">
        <v>0</v>
      </c>
      <c r="S202" s="257">
        <v>524.95</v>
      </c>
      <c r="T202" s="256">
        <v>-5197.89</v>
      </c>
      <c r="U202" s="256">
        <v>0</v>
      </c>
      <c r="V202" s="256">
        <f t="shared" si="7"/>
        <v>357373.23</v>
      </c>
      <c r="W202" s="230"/>
    </row>
    <row r="203" spans="1:23" s="232" customFormat="1" ht="12.75" hidden="1" outlineLevel="1">
      <c r="A203" s="230" t="s">
        <v>2356</v>
      </c>
      <c r="B203" s="231"/>
      <c r="C203" s="231" t="s">
        <v>2357</v>
      </c>
      <c r="D203" s="231" t="s">
        <v>2358</v>
      </c>
      <c r="E203" s="256">
        <v>5705.66</v>
      </c>
      <c r="F203" s="256">
        <v>0</v>
      </c>
      <c r="G203" s="256"/>
      <c r="H203" s="257">
        <v>0</v>
      </c>
      <c r="I203" s="257">
        <v>0</v>
      </c>
      <c r="J203" s="257">
        <v>0</v>
      </c>
      <c r="K203" s="257">
        <v>0</v>
      </c>
      <c r="L203" s="257">
        <v>0</v>
      </c>
      <c r="M203" s="257">
        <v>0</v>
      </c>
      <c r="N203" s="257">
        <v>0</v>
      </c>
      <c r="O203" s="257">
        <v>0</v>
      </c>
      <c r="P203" s="257">
        <v>0</v>
      </c>
      <c r="Q203" s="257">
        <v>0</v>
      </c>
      <c r="R203" s="257">
        <v>0</v>
      </c>
      <c r="S203" s="257">
        <v>0</v>
      </c>
      <c r="T203" s="256">
        <v>0</v>
      </c>
      <c r="U203" s="256">
        <v>0</v>
      </c>
      <c r="V203" s="256">
        <f t="shared" si="7"/>
        <v>5705.66</v>
      </c>
      <c r="W203" s="230"/>
    </row>
    <row r="204" spans="1:23" s="232" customFormat="1" ht="12.75" hidden="1" outlineLevel="1">
      <c r="A204" s="230" t="s">
        <v>2362</v>
      </c>
      <c r="B204" s="231"/>
      <c r="C204" s="231" t="s">
        <v>2363</v>
      </c>
      <c r="D204" s="231" t="s">
        <v>2364</v>
      </c>
      <c r="E204" s="256">
        <v>5769.75</v>
      </c>
      <c r="F204" s="256">
        <v>2018.27</v>
      </c>
      <c r="G204" s="256"/>
      <c r="H204" s="257">
        <v>0</v>
      </c>
      <c r="I204" s="257">
        <v>0</v>
      </c>
      <c r="J204" s="257">
        <v>0</v>
      </c>
      <c r="K204" s="257">
        <v>0</v>
      </c>
      <c r="L204" s="257">
        <v>0</v>
      </c>
      <c r="M204" s="257">
        <v>0</v>
      </c>
      <c r="N204" s="257">
        <v>0</v>
      </c>
      <c r="O204" s="257">
        <v>0</v>
      </c>
      <c r="P204" s="257">
        <v>0</v>
      </c>
      <c r="Q204" s="257">
        <v>0</v>
      </c>
      <c r="R204" s="257">
        <v>0</v>
      </c>
      <c r="S204" s="257">
        <v>0</v>
      </c>
      <c r="T204" s="256">
        <v>0</v>
      </c>
      <c r="U204" s="256">
        <v>0</v>
      </c>
      <c r="V204" s="256">
        <f t="shared" si="7"/>
        <v>7788.02</v>
      </c>
      <c r="W204" s="230"/>
    </row>
    <row r="205" spans="1:23" s="232" customFormat="1" ht="12.75" hidden="1" outlineLevel="1">
      <c r="A205" s="230" t="s">
        <v>2374</v>
      </c>
      <c r="B205" s="231"/>
      <c r="C205" s="231" t="s">
        <v>2375</v>
      </c>
      <c r="D205" s="231" t="s">
        <v>2376</v>
      </c>
      <c r="E205" s="256">
        <v>94.88</v>
      </c>
      <c r="F205" s="256">
        <v>0</v>
      </c>
      <c r="G205" s="256"/>
      <c r="H205" s="257">
        <v>0</v>
      </c>
      <c r="I205" s="257">
        <v>0</v>
      </c>
      <c r="J205" s="257">
        <v>0</v>
      </c>
      <c r="K205" s="257">
        <v>0</v>
      </c>
      <c r="L205" s="257">
        <v>0</v>
      </c>
      <c r="M205" s="257">
        <v>0</v>
      </c>
      <c r="N205" s="257">
        <v>0</v>
      </c>
      <c r="O205" s="257">
        <v>0</v>
      </c>
      <c r="P205" s="257">
        <v>0</v>
      </c>
      <c r="Q205" s="257">
        <v>0</v>
      </c>
      <c r="R205" s="257">
        <v>0</v>
      </c>
      <c r="S205" s="257">
        <v>0</v>
      </c>
      <c r="T205" s="256">
        <v>0</v>
      </c>
      <c r="U205" s="256">
        <v>0</v>
      </c>
      <c r="V205" s="256">
        <f t="shared" si="7"/>
        <v>94.88</v>
      </c>
      <c r="W205" s="230"/>
    </row>
    <row r="206" spans="1:23" s="232" customFormat="1" ht="12.75" hidden="1" outlineLevel="1">
      <c r="A206" s="230" t="s">
        <v>2377</v>
      </c>
      <c r="B206" s="231"/>
      <c r="C206" s="231" t="s">
        <v>2378</v>
      </c>
      <c r="D206" s="231" t="s">
        <v>2379</v>
      </c>
      <c r="E206" s="256">
        <v>22.54</v>
      </c>
      <c r="F206" s="256">
        <v>0</v>
      </c>
      <c r="G206" s="256"/>
      <c r="H206" s="257">
        <v>0</v>
      </c>
      <c r="I206" s="257">
        <v>0</v>
      </c>
      <c r="J206" s="257">
        <v>0</v>
      </c>
      <c r="K206" s="257">
        <v>0</v>
      </c>
      <c r="L206" s="257">
        <v>0</v>
      </c>
      <c r="M206" s="257">
        <v>0</v>
      </c>
      <c r="N206" s="257">
        <v>0</v>
      </c>
      <c r="O206" s="257">
        <v>0</v>
      </c>
      <c r="P206" s="257">
        <v>0</v>
      </c>
      <c r="Q206" s="257">
        <v>0</v>
      </c>
      <c r="R206" s="257">
        <v>0</v>
      </c>
      <c r="S206" s="257">
        <v>0</v>
      </c>
      <c r="T206" s="256">
        <v>0</v>
      </c>
      <c r="U206" s="256">
        <v>0</v>
      </c>
      <c r="V206" s="256">
        <f t="shared" si="7"/>
        <v>22.54</v>
      </c>
      <c r="W206" s="230"/>
    </row>
    <row r="207" spans="1:23" s="232" customFormat="1" ht="12.75" hidden="1" outlineLevel="1">
      <c r="A207" s="230" t="s">
        <v>2380</v>
      </c>
      <c r="B207" s="231"/>
      <c r="C207" s="231" t="s">
        <v>2381</v>
      </c>
      <c r="D207" s="231" t="s">
        <v>2382</v>
      </c>
      <c r="E207" s="256">
        <v>453.45</v>
      </c>
      <c r="F207" s="256">
        <v>708.67</v>
      </c>
      <c r="G207" s="256"/>
      <c r="H207" s="257">
        <v>0</v>
      </c>
      <c r="I207" s="257">
        <v>0</v>
      </c>
      <c r="J207" s="257">
        <v>0</v>
      </c>
      <c r="K207" s="257">
        <v>0</v>
      </c>
      <c r="L207" s="257">
        <v>0</v>
      </c>
      <c r="M207" s="257">
        <v>0</v>
      </c>
      <c r="N207" s="257">
        <v>0</v>
      </c>
      <c r="O207" s="257">
        <v>0</v>
      </c>
      <c r="P207" s="257">
        <v>0</v>
      </c>
      <c r="Q207" s="257">
        <v>0</v>
      </c>
      <c r="R207" s="257">
        <v>0</v>
      </c>
      <c r="S207" s="257">
        <v>0</v>
      </c>
      <c r="T207" s="256">
        <v>0</v>
      </c>
      <c r="U207" s="256">
        <v>0</v>
      </c>
      <c r="V207" s="256">
        <f t="shared" si="7"/>
        <v>1162.12</v>
      </c>
      <c r="W207" s="230"/>
    </row>
    <row r="208" spans="1:23" s="232" customFormat="1" ht="12.75" hidden="1" outlineLevel="1">
      <c r="A208" s="230" t="s">
        <v>2383</v>
      </c>
      <c r="B208" s="231"/>
      <c r="C208" s="231" t="s">
        <v>2384</v>
      </c>
      <c r="D208" s="231" t="s">
        <v>2385</v>
      </c>
      <c r="E208" s="256">
        <v>4582.29</v>
      </c>
      <c r="F208" s="256">
        <v>10.18</v>
      </c>
      <c r="G208" s="256"/>
      <c r="H208" s="257">
        <v>0</v>
      </c>
      <c r="I208" s="257">
        <v>0</v>
      </c>
      <c r="J208" s="257">
        <v>0</v>
      </c>
      <c r="K208" s="257">
        <v>0</v>
      </c>
      <c r="L208" s="257">
        <v>0</v>
      </c>
      <c r="M208" s="257">
        <v>0</v>
      </c>
      <c r="N208" s="257">
        <v>0</v>
      </c>
      <c r="O208" s="257">
        <v>0</v>
      </c>
      <c r="P208" s="257">
        <v>0</v>
      </c>
      <c r="Q208" s="257">
        <v>0</v>
      </c>
      <c r="R208" s="257">
        <v>0</v>
      </c>
      <c r="S208" s="257">
        <v>0</v>
      </c>
      <c r="T208" s="256">
        <v>0</v>
      </c>
      <c r="U208" s="256">
        <v>0</v>
      </c>
      <c r="V208" s="256">
        <f t="shared" si="7"/>
        <v>4592.47</v>
      </c>
      <c r="W208" s="230"/>
    </row>
    <row r="209" spans="1:23" s="232" customFormat="1" ht="12.75" hidden="1" outlineLevel="1">
      <c r="A209" s="230" t="s">
        <v>2389</v>
      </c>
      <c r="B209" s="231"/>
      <c r="C209" s="231" t="s">
        <v>2390</v>
      </c>
      <c r="D209" s="231" t="s">
        <v>2391</v>
      </c>
      <c r="E209" s="256">
        <v>150.5</v>
      </c>
      <c r="F209" s="256">
        <v>0</v>
      </c>
      <c r="G209" s="256"/>
      <c r="H209" s="257">
        <v>0</v>
      </c>
      <c r="I209" s="257">
        <v>0</v>
      </c>
      <c r="J209" s="257">
        <v>0</v>
      </c>
      <c r="K209" s="257">
        <v>0</v>
      </c>
      <c r="L209" s="257">
        <v>0</v>
      </c>
      <c r="M209" s="257">
        <v>0</v>
      </c>
      <c r="N209" s="257">
        <v>0</v>
      </c>
      <c r="O209" s="257">
        <v>0</v>
      </c>
      <c r="P209" s="257">
        <v>0</v>
      </c>
      <c r="Q209" s="257">
        <v>0</v>
      </c>
      <c r="R209" s="257">
        <v>0</v>
      </c>
      <c r="S209" s="257">
        <v>0</v>
      </c>
      <c r="T209" s="256">
        <v>0</v>
      </c>
      <c r="U209" s="256">
        <v>0</v>
      </c>
      <c r="V209" s="256">
        <f t="shared" si="7"/>
        <v>150.5</v>
      </c>
      <c r="W209" s="230"/>
    </row>
    <row r="210" spans="1:23" s="232" customFormat="1" ht="12.75" hidden="1" outlineLevel="1">
      <c r="A210" s="230" t="s">
        <v>2392</v>
      </c>
      <c r="B210" s="231"/>
      <c r="C210" s="231" t="s">
        <v>2393</v>
      </c>
      <c r="D210" s="231" t="s">
        <v>2394</v>
      </c>
      <c r="E210" s="256">
        <v>100</v>
      </c>
      <c r="F210" s="256">
        <v>0</v>
      </c>
      <c r="G210" s="256"/>
      <c r="H210" s="257">
        <v>0</v>
      </c>
      <c r="I210" s="257">
        <v>0</v>
      </c>
      <c r="J210" s="257">
        <v>0</v>
      </c>
      <c r="K210" s="257">
        <v>0</v>
      </c>
      <c r="L210" s="257">
        <v>0</v>
      </c>
      <c r="M210" s="257">
        <v>0</v>
      </c>
      <c r="N210" s="257">
        <v>0</v>
      </c>
      <c r="O210" s="257">
        <v>0</v>
      </c>
      <c r="P210" s="257">
        <v>0</v>
      </c>
      <c r="Q210" s="257">
        <v>0</v>
      </c>
      <c r="R210" s="257">
        <v>0</v>
      </c>
      <c r="S210" s="257">
        <v>0</v>
      </c>
      <c r="T210" s="256">
        <v>0</v>
      </c>
      <c r="U210" s="256">
        <v>0</v>
      </c>
      <c r="V210" s="256">
        <f t="shared" si="7"/>
        <v>100</v>
      </c>
      <c r="W210" s="230"/>
    </row>
    <row r="211" spans="1:23" s="232" customFormat="1" ht="12.75" hidden="1" outlineLevel="1">
      <c r="A211" s="230" t="s">
        <v>2395</v>
      </c>
      <c r="B211" s="231"/>
      <c r="C211" s="231" t="s">
        <v>2396</v>
      </c>
      <c r="D211" s="231" t="s">
        <v>2397</v>
      </c>
      <c r="E211" s="256">
        <v>5883.64</v>
      </c>
      <c r="F211" s="256">
        <v>0</v>
      </c>
      <c r="G211" s="256"/>
      <c r="H211" s="257">
        <v>0</v>
      </c>
      <c r="I211" s="257">
        <v>0</v>
      </c>
      <c r="J211" s="257">
        <v>0</v>
      </c>
      <c r="K211" s="257">
        <v>0</v>
      </c>
      <c r="L211" s="257">
        <v>0</v>
      </c>
      <c r="M211" s="257">
        <v>0</v>
      </c>
      <c r="N211" s="257">
        <v>0</v>
      </c>
      <c r="O211" s="257">
        <v>0</v>
      </c>
      <c r="P211" s="257">
        <v>0</v>
      </c>
      <c r="Q211" s="257">
        <v>0</v>
      </c>
      <c r="R211" s="257">
        <v>0</v>
      </c>
      <c r="S211" s="257">
        <v>0</v>
      </c>
      <c r="T211" s="256">
        <v>0</v>
      </c>
      <c r="U211" s="256">
        <v>0</v>
      </c>
      <c r="V211" s="256">
        <f t="shared" si="7"/>
        <v>5883.64</v>
      </c>
      <c r="W211" s="230"/>
    </row>
    <row r="212" spans="1:23" s="232" customFormat="1" ht="12.75" hidden="1" outlineLevel="1">
      <c r="A212" s="230" t="s">
        <v>2398</v>
      </c>
      <c r="B212" s="231"/>
      <c r="C212" s="231" t="s">
        <v>2399</v>
      </c>
      <c r="D212" s="231" t="s">
        <v>2400</v>
      </c>
      <c r="E212" s="256">
        <v>3331.51</v>
      </c>
      <c r="F212" s="256">
        <v>0</v>
      </c>
      <c r="G212" s="256"/>
      <c r="H212" s="257">
        <v>0</v>
      </c>
      <c r="I212" s="257">
        <v>0</v>
      </c>
      <c r="J212" s="257">
        <v>0</v>
      </c>
      <c r="K212" s="257">
        <v>0</v>
      </c>
      <c r="L212" s="257">
        <v>0</v>
      </c>
      <c r="M212" s="257">
        <v>0</v>
      </c>
      <c r="N212" s="257">
        <v>0</v>
      </c>
      <c r="O212" s="257">
        <v>0</v>
      </c>
      <c r="P212" s="257">
        <v>0</v>
      </c>
      <c r="Q212" s="257">
        <v>0</v>
      </c>
      <c r="R212" s="257">
        <v>0</v>
      </c>
      <c r="S212" s="257">
        <v>0</v>
      </c>
      <c r="T212" s="256">
        <v>0</v>
      </c>
      <c r="U212" s="256">
        <v>0</v>
      </c>
      <c r="V212" s="256">
        <f t="shared" si="7"/>
        <v>3331.51</v>
      </c>
      <c r="W212" s="230"/>
    </row>
    <row r="213" spans="1:23" s="232" customFormat="1" ht="12.75" hidden="1" outlineLevel="1">
      <c r="A213" s="230" t="s">
        <v>2401</v>
      </c>
      <c r="B213" s="231"/>
      <c r="C213" s="231" t="s">
        <v>2402</v>
      </c>
      <c r="D213" s="231" t="s">
        <v>2403</v>
      </c>
      <c r="E213" s="256">
        <v>207204</v>
      </c>
      <c r="F213" s="256">
        <v>0</v>
      </c>
      <c r="G213" s="256"/>
      <c r="H213" s="257">
        <v>0</v>
      </c>
      <c r="I213" s="257">
        <v>0</v>
      </c>
      <c r="J213" s="257">
        <v>0</v>
      </c>
      <c r="K213" s="257">
        <v>0</v>
      </c>
      <c r="L213" s="257">
        <v>0</v>
      </c>
      <c r="M213" s="257">
        <v>0</v>
      </c>
      <c r="N213" s="257">
        <v>0</v>
      </c>
      <c r="O213" s="257">
        <v>0</v>
      </c>
      <c r="P213" s="257">
        <v>0</v>
      </c>
      <c r="Q213" s="257">
        <v>0</v>
      </c>
      <c r="R213" s="257">
        <v>0</v>
      </c>
      <c r="S213" s="257">
        <v>0</v>
      </c>
      <c r="T213" s="256">
        <v>0</v>
      </c>
      <c r="U213" s="256">
        <v>0</v>
      </c>
      <c r="V213" s="256">
        <f t="shared" si="7"/>
        <v>207204</v>
      </c>
      <c r="W213" s="230"/>
    </row>
    <row r="214" spans="1:23" s="232" customFormat="1" ht="12.75" hidden="1" outlineLevel="1">
      <c r="A214" s="230" t="s">
        <v>2404</v>
      </c>
      <c r="B214" s="231"/>
      <c r="C214" s="231" t="s">
        <v>2405</v>
      </c>
      <c r="D214" s="231" t="s">
        <v>2406</v>
      </c>
      <c r="E214" s="256">
        <v>657918.05</v>
      </c>
      <c r="F214" s="256">
        <v>2170</v>
      </c>
      <c r="G214" s="256"/>
      <c r="H214" s="257">
        <v>0</v>
      </c>
      <c r="I214" s="257">
        <v>0</v>
      </c>
      <c r="J214" s="257">
        <v>0</v>
      </c>
      <c r="K214" s="257">
        <v>0</v>
      </c>
      <c r="L214" s="257">
        <v>0</v>
      </c>
      <c r="M214" s="257">
        <v>0</v>
      </c>
      <c r="N214" s="257">
        <v>0</v>
      </c>
      <c r="O214" s="257">
        <v>0</v>
      </c>
      <c r="P214" s="257">
        <v>0</v>
      </c>
      <c r="Q214" s="257">
        <v>0</v>
      </c>
      <c r="R214" s="257">
        <v>390</v>
      </c>
      <c r="S214" s="257">
        <v>0</v>
      </c>
      <c r="T214" s="256">
        <v>390</v>
      </c>
      <c r="U214" s="256">
        <v>0</v>
      </c>
      <c r="V214" s="256">
        <f t="shared" si="7"/>
        <v>660478.05</v>
      </c>
      <c r="W214" s="230"/>
    </row>
    <row r="215" spans="1:23" s="232" customFormat="1" ht="12.75" hidden="1" outlineLevel="1">
      <c r="A215" s="230" t="s">
        <v>2407</v>
      </c>
      <c r="B215" s="231"/>
      <c r="C215" s="231" t="s">
        <v>2408</v>
      </c>
      <c r="D215" s="231" t="s">
        <v>2409</v>
      </c>
      <c r="E215" s="256">
        <v>5240</v>
      </c>
      <c r="F215" s="256">
        <v>0</v>
      </c>
      <c r="G215" s="256"/>
      <c r="H215" s="257">
        <v>0</v>
      </c>
      <c r="I215" s="257">
        <v>650</v>
      </c>
      <c r="J215" s="257">
        <v>0</v>
      </c>
      <c r="K215" s="257">
        <v>0</v>
      </c>
      <c r="L215" s="257">
        <v>0</v>
      </c>
      <c r="M215" s="257">
        <v>0</v>
      </c>
      <c r="N215" s="257">
        <v>0</v>
      </c>
      <c r="O215" s="257">
        <v>0</v>
      </c>
      <c r="P215" s="257">
        <v>0</v>
      </c>
      <c r="Q215" s="257">
        <v>0</v>
      </c>
      <c r="R215" s="257">
        <v>0</v>
      </c>
      <c r="S215" s="257">
        <v>0</v>
      </c>
      <c r="T215" s="256">
        <v>650</v>
      </c>
      <c r="U215" s="256">
        <v>0</v>
      </c>
      <c r="V215" s="256">
        <f t="shared" si="7"/>
        <v>5890</v>
      </c>
      <c r="W215" s="230"/>
    </row>
    <row r="216" spans="1:23" s="232" customFormat="1" ht="12.75" hidden="1" outlineLevel="1">
      <c r="A216" s="230" t="s">
        <v>2410</v>
      </c>
      <c r="B216" s="231"/>
      <c r="C216" s="231" t="s">
        <v>2411</v>
      </c>
      <c r="D216" s="231" t="s">
        <v>2412</v>
      </c>
      <c r="E216" s="256">
        <v>140</v>
      </c>
      <c r="F216" s="256">
        <v>0</v>
      </c>
      <c r="G216" s="256"/>
      <c r="H216" s="257">
        <v>0</v>
      </c>
      <c r="I216" s="257">
        <v>0</v>
      </c>
      <c r="J216" s="257">
        <v>0</v>
      </c>
      <c r="K216" s="257">
        <v>0</v>
      </c>
      <c r="L216" s="257">
        <v>0</v>
      </c>
      <c r="M216" s="257">
        <v>0</v>
      </c>
      <c r="N216" s="257">
        <v>0</v>
      </c>
      <c r="O216" s="257">
        <v>0</v>
      </c>
      <c r="P216" s="257">
        <v>0</v>
      </c>
      <c r="Q216" s="257">
        <v>0</v>
      </c>
      <c r="R216" s="257">
        <v>0</v>
      </c>
      <c r="S216" s="257">
        <v>0</v>
      </c>
      <c r="T216" s="256">
        <v>0</v>
      </c>
      <c r="U216" s="256">
        <v>0</v>
      </c>
      <c r="V216" s="256">
        <f t="shared" si="7"/>
        <v>140</v>
      </c>
      <c r="W216" s="230"/>
    </row>
    <row r="217" spans="1:23" s="232" customFormat="1" ht="12.75" hidden="1" outlineLevel="1">
      <c r="A217" s="230" t="s">
        <v>2413</v>
      </c>
      <c r="B217" s="231"/>
      <c r="C217" s="231" t="s">
        <v>2414</v>
      </c>
      <c r="D217" s="231" t="s">
        <v>2415</v>
      </c>
      <c r="E217" s="256">
        <v>15329.25</v>
      </c>
      <c r="F217" s="256">
        <v>2550</v>
      </c>
      <c r="G217" s="256"/>
      <c r="H217" s="257">
        <v>0</v>
      </c>
      <c r="I217" s="257">
        <v>0</v>
      </c>
      <c r="J217" s="257">
        <v>0</v>
      </c>
      <c r="K217" s="257">
        <v>0</v>
      </c>
      <c r="L217" s="257">
        <v>0</v>
      </c>
      <c r="M217" s="257">
        <v>0</v>
      </c>
      <c r="N217" s="257">
        <v>0</v>
      </c>
      <c r="O217" s="257">
        <v>0</v>
      </c>
      <c r="P217" s="257">
        <v>0</v>
      </c>
      <c r="Q217" s="257">
        <v>0</v>
      </c>
      <c r="R217" s="257">
        <v>0</v>
      </c>
      <c r="S217" s="257">
        <v>0</v>
      </c>
      <c r="T217" s="256">
        <v>0</v>
      </c>
      <c r="U217" s="256">
        <v>0</v>
      </c>
      <c r="V217" s="256">
        <f t="shared" si="7"/>
        <v>17879.25</v>
      </c>
      <c r="W217" s="230"/>
    </row>
    <row r="218" spans="1:23" s="232" customFormat="1" ht="12.75" hidden="1" outlineLevel="1">
      <c r="A218" s="230" t="s">
        <v>2416</v>
      </c>
      <c r="B218" s="231"/>
      <c r="C218" s="231" t="s">
        <v>2417</v>
      </c>
      <c r="D218" s="231" t="s">
        <v>2418</v>
      </c>
      <c r="E218" s="256">
        <v>1108672.25</v>
      </c>
      <c r="F218" s="256">
        <v>20995.61</v>
      </c>
      <c r="G218" s="256"/>
      <c r="H218" s="257">
        <v>0</v>
      </c>
      <c r="I218" s="257">
        <v>1450.36</v>
      </c>
      <c r="J218" s="257">
        <v>1142</v>
      </c>
      <c r="K218" s="257">
        <v>0</v>
      </c>
      <c r="L218" s="257">
        <v>-521190.41</v>
      </c>
      <c r="M218" s="257">
        <v>0</v>
      </c>
      <c r="N218" s="257">
        <v>0</v>
      </c>
      <c r="O218" s="257">
        <v>37.5</v>
      </c>
      <c r="P218" s="257">
        <v>2411</v>
      </c>
      <c r="Q218" s="257">
        <v>0</v>
      </c>
      <c r="R218" s="257">
        <v>2513.58</v>
      </c>
      <c r="S218" s="257">
        <v>2826.69</v>
      </c>
      <c r="T218" s="256">
        <v>-510809.28</v>
      </c>
      <c r="U218" s="256">
        <v>0</v>
      </c>
      <c r="V218" s="256">
        <f t="shared" si="7"/>
        <v>618858.5800000001</v>
      </c>
      <c r="W218" s="230"/>
    </row>
    <row r="219" spans="1:23" s="232" customFormat="1" ht="12.75" hidden="1" outlineLevel="1">
      <c r="A219" s="230" t="s">
        <v>2419</v>
      </c>
      <c r="B219" s="231"/>
      <c r="C219" s="231" t="s">
        <v>2420</v>
      </c>
      <c r="D219" s="231" t="s">
        <v>2421</v>
      </c>
      <c r="E219" s="256">
        <v>1417.37</v>
      </c>
      <c r="F219" s="256">
        <v>0</v>
      </c>
      <c r="G219" s="256"/>
      <c r="H219" s="257">
        <v>0</v>
      </c>
      <c r="I219" s="257">
        <v>0</v>
      </c>
      <c r="J219" s="257">
        <v>0</v>
      </c>
      <c r="K219" s="257">
        <v>0</v>
      </c>
      <c r="L219" s="257">
        <v>0</v>
      </c>
      <c r="M219" s="257">
        <v>0</v>
      </c>
      <c r="N219" s="257">
        <v>0</v>
      </c>
      <c r="O219" s="257">
        <v>0</v>
      </c>
      <c r="P219" s="257">
        <v>0</v>
      </c>
      <c r="Q219" s="257">
        <v>0</v>
      </c>
      <c r="R219" s="257">
        <v>0</v>
      </c>
      <c r="S219" s="257">
        <v>0</v>
      </c>
      <c r="T219" s="256">
        <v>0</v>
      </c>
      <c r="U219" s="256">
        <v>0</v>
      </c>
      <c r="V219" s="256">
        <f t="shared" si="7"/>
        <v>1417.37</v>
      </c>
      <c r="W219" s="230"/>
    </row>
    <row r="220" spans="1:23" s="232" customFormat="1" ht="12.75" hidden="1" outlineLevel="1">
      <c r="A220" s="230" t="s">
        <v>2422</v>
      </c>
      <c r="B220" s="231"/>
      <c r="C220" s="231" t="s">
        <v>2423</v>
      </c>
      <c r="D220" s="231" t="s">
        <v>2424</v>
      </c>
      <c r="E220" s="256">
        <v>68549.98</v>
      </c>
      <c r="F220" s="256">
        <v>2755.03</v>
      </c>
      <c r="G220" s="256"/>
      <c r="H220" s="257">
        <v>0</v>
      </c>
      <c r="I220" s="257">
        <v>0</v>
      </c>
      <c r="J220" s="257">
        <v>0</v>
      </c>
      <c r="K220" s="257">
        <v>0</v>
      </c>
      <c r="L220" s="257">
        <v>0</v>
      </c>
      <c r="M220" s="257">
        <v>0</v>
      </c>
      <c r="N220" s="257">
        <v>0</v>
      </c>
      <c r="O220" s="257">
        <v>597</v>
      </c>
      <c r="P220" s="257">
        <v>0</v>
      </c>
      <c r="Q220" s="257">
        <v>0</v>
      </c>
      <c r="R220" s="257">
        <v>0</v>
      </c>
      <c r="S220" s="257">
        <v>0</v>
      </c>
      <c r="T220" s="256">
        <v>597</v>
      </c>
      <c r="U220" s="256">
        <v>0</v>
      </c>
      <c r="V220" s="256">
        <f t="shared" si="7"/>
        <v>71902.01</v>
      </c>
      <c r="W220" s="230"/>
    </row>
    <row r="221" spans="1:23" s="232" customFormat="1" ht="12.75" hidden="1" outlineLevel="1">
      <c r="A221" s="230" t="s">
        <v>2425</v>
      </c>
      <c r="B221" s="231"/>
      <c r="C221" s="231" t="s">
        <v>2426</v>
      </c>
      <c r="D221" s="231" t="s">
        <v>2427</v>
      </c>
      <c r="E221" s="256">
        <v>70397.03</v>
      </c>
      <c r="F221" s="256">
        <v>7527.25</v>
      </c>
      <c r="G221" s="256"/>
      <c r="H221" s="257">
        <v>0</v>
      </c>
      <c r="I221" s="257">
        <v>200.25</v>
      </c>
      <c r="J221" s="257">
        <v>0</v>
      </c>
      <c r="K221" s="257">
        <v>0</v>
      </c>
      <c r="L221" s="257">
        <v>0</v>
      </c>
      <c r="M221" s="257">
        <v>0</v>
      </c>
      <c r="N221" s="257">
        <v>0</v>
      </c>
      <c r="O221" s="257">
        <v>0</v>
      </c>
      <c r="P221" s="257">
        <v>818</v>
      </c>
      <c r="Q221" s="257">
        <v>0</v>
      </c>
      <c r="R221" s="257">
        <v>0</v>
      </c>
      <c r="S221" s="257">
        <v>0</v>
      </c>
      <c r="T221" s="256">
        <v>1018.25</v>
      </c>
      <c r="U221" s="256">
        <v>0</v>
      </c>
      <c r="V221" s="256">
        <f t="shared" si="7"/>
        <v>78942.53</v>
      </c>
      <c r="W221" s="230"/>
    </row>
    <row r="222" spans="1:23" s="232" customFormat="1" ht="12.75" hidden="1" outlineLevel="1">
      <c r="A222" s="230" t="s">
        <v>2428</v>
      </c>
      <c r="B222" s="231"/>
      <c r="C222" s="231" t="s">
        <v>2429</v>
      </c>
      <c r="D222" s="231" t="s">
        <v>2430</v>
      </c>
      <c r="E222" s="256">
        <v>19118.23</v>
      </c>
      <c r="F222" s="256">
        <v>0</v>
      </c>
      <c r="G222" s="256"/>
      <c r="H222" s="257">
        <v>0</v>
      </c>
      <c r="I222" s="257">
        <v>0</v>
      </c>
      <c r="J222" s="257">
        <v>0</v>
      </c>
      <c r="K222" s="257">
        <v>0</v>
      </c>
      <c r="L222" s="257">
        <v>0</v>
      </c>
      <c r="M222" s="257">
        <v>0</v>
      </c>
      <c r="N222" s="257">
        <v>0</v>
      </c>
      <c r="O222" s="257">
        <v>0</v>
      </c>
      <c r="P222" s="257">
        <v>0</v>
      </c>
      <c r="Q222" s="257">
        <v>0</v>
      </c>
      <c r="R222" s="257">
        <v>0</v>
      </c>
      <c r="S222" s="257">
        <v>0</v>
      </c>
      <c r="T222" s="256">
        <v>0</v>
      </c>
      <c r="U222" s="256">
        <v>0</v>
      </c>
      <c r="V222" s="256">
        <f t="shared" si="7"/>
        <v>19118.23</v>
      </c>
      <c r="W222" s="230"/>
    </row>
    <row r="223" spans="1:23" s="232" customFormat="1" ht="12.75" hidden="1" outlineLevel="1">
      <c r="A223" s="230" t="s">
        <v>2431</v>
      </c>
      <c r="B223" s="231"/>
      <c r="C223" s="231" t="s">
        <v>2432</v>
      </c>
      <c r="D223" s="231" t="s">
        <v>2433</v>
      </c>
      <c r="E223" s="256">
        <v>550.45</v>
      </c>
      <c r="F223" s="256">
        <v>0</v>
      </c>
      <c r="G223" s="256"/>
      <c r="H223" s="257">
        <v>0</v>
      </c>
      <c r="I223" s="257">
        <v>0</v>
      </c>
      <c r="J223" s="257">
        <v>0</v>
      </c>
      <c r="K223" s="257">
        <v>0</v>
      </c>
      <c r="L223" s="257">
        <v>0</v>
      </c>
      <c r="M223" s="257">
        <v>0</v>
      </c>
      <c r="N223" s="257">
        <v>0</v>
      </c>
      <c r="O223" s="257">
        <v>0</v>
      </c>
      <c r="P223" s="257">
        <v>0</v>
      </c>
      <c r="Q223" s="257">
        <v>0</v>
      </c>
      <c r="R223" s="257">
        <v>0</v>
      </c>
      <c r="S223" s="257">
        <v>0</v>
      </c>
      <c r="T223" s="256">
        <v>0</v>
      </c>
      <c r="U223" s="256">
        <v>0</v>
      </c>
      <c r="V223" s="256">
        <f t="shared" si="7"/>
        <v>550.45</v>
      </c>
      <c r="W223" s="230"/>
    </row>
    <row r="224" spans="1:23" s="232" customFormat="1" ht="12.75" hidden="1" outlineLevel="1">
      <c r="A224" s="230" t="s">
        <v>2434</v>
      </c>
      <c r="B224" s="231"/>
      <c r="C224" s="231" t="s">
        <v>2435</v>
      </c>
      <c r="D224" s="231" t="s">
        <v>2436</v>
      </c>
      <c r="E224" s="256">
        <v>132107.36</v>
      </c>
      <c r="F224" s="256">
        <v>2625</v>
      </c>
      <c r="G224" s="256"/>
      <c r="H224" s="257">
        <v>0</v>
      </c>
      <c r="I224" s="257">
        <v>3150</v>
      </c>
      <c r="J224" s="257">
        <v>1050</v>
      </c>
      <c r="K224" s="257">
        <v>0</v>
      </c>
      <c r="L224" s="257">
        <v>0</v>
      </c>
      <c r="M224" s="257">
        <v>0</v>
      </c>
      <c r="N224" s="257">
        <v>525</v>
      </c>
      <c r="O224" s="257">
        <v>481.25</v>
      </c>
      <c r="P224" s="257">
        <v>4999.75</v>
      </c>
      <c r="Q224" s="257">
        <v>0</v>
      </c>
      <c r="R224" s="257">
        <v>0</v>
      </c>
      <c r="S224" s="257">
        <v>525</v>
      </c>
      <c r="T224" s="256">
        <v>10731</v>
      </c>
      <c r="U224" s="256">
        <v>0</v>
      </c>
      <c r="V224" s="256">
        <f t="shared" si="7"/>
        <v>145463.36</v>
      </c>
      <c r="W224" s="230"/>
    </row>
    <row r="225" spans="1:23" s="232" customFormat="1" ht="12.75" hidden="1" outlineLevel="1">
      <c r="A225" s="230" t="s">
        <v>2437</v>
      </c>
      <c r="B225" s="231"/>
      <c r="C225" s="231" t="s">
        <v>2438</v>
      </c>
      <c r="D225" s="231" t="s">
        <v>2439</v>
      </c>
      <c r="E225" s="256">
        <v>1275</v>
      </c>
      <c r="F225" s="256">
        <v>0</v>
      </c>
      <c r="G225" s="256"/>
      <c r="H225" s="257">
        <v>0</v>
      </c>
      <c r="I225" s="257">
        <v>0</v>
      </c>
      <c r="J225" s="257">
        <v>0</v>
      </c>
      <c r="K225" s="257">
        <v>0</v>
      </c>
      <c r="L225" s="257">
        <v>0</v>
      </c>
      <c r="M225" s="257">
        <v>0</v>
      </c>
      <c r="N225" s="257">
        <v>0</v>
      </c>
      <c r="O225" s="257">
        <v>0</v>
      </c>
      <c r="P225" s="257">
        <v>0</v>
      </c>
      <c r="Q225" s="257">
        <v>0</v>
      </c>
      <c r="R225" s="257">
        <v>0</v>
      </c>
      <c r="S225" s="257">
        <v>0</v>
      </c>
      <c r="T225" s="256">
        <v>0</v>
      </c>
      <c r="U225" s="256">
        <v>0</v>
      </c>
      <c r="V225" s="256">
        <f t="shared" si="7"/>
        <v>1275</v>
      </c>
      <c r="W225" s="230"/>
    </row>
    <row r="226" spans="1:23" s="232" customFormat="1" ht="12.75" hidden="1" outlineLevel="1">
      <c r="A226" s="230" t="s">
        <v>2440</v>
      </c>
      <c r="B226" s="231"/>
      <c r="C226" s="231" t="s">
        <v>2441</v>
      </c>
      <c r="D226" s="231" t="s">
        <v>2442</v>
      </c>
      <c r="E226" s="256">
        <v>46106.63</v>
      </c>
      <c r="F226" s="256">
        <v>735.56</v>
      </c>
      <c r="G226" s="256"/>
      <c r="H226" s="257">
        <v>0</v>
      </c>
      <c r="I226" s="257">
        <v>0</v>
      </c>
      <c r="J226" s="257">
        <v>0</v>
      </c>
      <c r="K226" s="257">
        <v>0</v>
      </c>
      <c r="L226" s="257">
        <v>0</v>
      </c>
      <c r="M226" s="257">
        <v>0</v>
      </c>
      <c r="N226" s="257">
        <v>0</v>
      </c>
      <c r="O226" s="257">
        <v>0</v>
      </c>
      <c r="P226" s="257">
        <v>0</v>
      </c>
      <c r="Q226" s="257">
        <v>0</v>
      </c>
      <c r="R226" s="257">
        <v>0</v>
      </c>
      <c r="S226" s="257">
        <v>0</v>
      </c>
      <c r="T226" s="256">
        <v>0</v>
      </c>
      <c r="U226" s="256">
        <v>0</v>
      </c>
      <c r="V226" s="256">
        <f t="shared" si="7"/>
        <v>46842.189999999995</v>
      </c>
      <c r="W226" s="230"/>
    </row>
    <row r="227" spans="1:23" s="232" customFormat="1" ht="12.75" hidden="1" outlineLevel="1">
      <c r="A227" s="230" t="s">
        <v>2443</v>
      </c>
      <c r="B227" s="231"/>
      <c r="C227" s="231" t="s">
        <v>2444</v>
      </c>
      <c r="D227" s="231" t="s">
        <v>2445</v>
      </c>
      <c r="E227" s="256">
        <v>73497.2</v>
      </c>
      <c r="F227" s="256">
        <v>0</v>
      </c>
      <c r="G227" s="256"/>
      <c r="H227" s="257">
        <v>0</v>
      </c>
      <c r="I227" s="257">
        <v>0</v>
      </c>
      <c r="J227" s="257">
        <v>0</v>
      </c>
      <c r="K227" s="257">
        <v>0</v>
      </c>
      <c r="L227" s="257">
        <v>1214.4</v>
      </c>
      <c r="M227" s="257">
        <v>0</v>
      </c>
      <c r="N227" s="257">
        <v>0</v>
      </c>
      <c r="O227" s="257">
        <v>182.99</v>
      </c>
      <c r="P227" s="257">
        <v>0</v>
      </c>
      <c r="Q227" s="257">
        <v>0</v>
      </c>
      <c r="R227" s="257">
        <v>0</v>
      </c>
      <c r="S227" s="257">
        <v>5150.52</v>
      </c>
      <c r="T227" s="256">
        <v>6547.91</v>
      </c>
      <c r="U227" s="256">
        <v>0</v>
      </c>
      <c r="V227" s="256">
        <f t="shared" si="7"/>
        <v>80045.11</v>
      </c>
      <c r="W227" s="230"/>
    </row>
    <row r="228" spans="1:23" s="232" customFormat="1" ht="12.75" hidden="1" outlineLevel="1">
      <c r="A228" s="230" t="s">
        <v>2446</v>
      </c>
      <c r="B228" s="231"/>
      <c r="C228" s="231" t="s">
        <v>2447</v>
      </c>
      <c r="D228" s="231" t="s">
        <v>2448</v>
      </c>
      <c r="E228" s="256">
        <v>91965.57</v>
      </c>
      <c r="F228" s="256">
        <v>4532.3</v>
      </c>
      <c r="G228" s="256"/>
      <c r="H228" s="257">
        <v>0</v>
      </c>
      <c r="I228" s="257">
        <v>3303.1</v>
      </c>
      <c r="J228" s="257">
        <v>0</v>
      </c>
      <c r="K228" s="257">
        <v>0</v>
      </c>
      <c r="L228" s="257">
        <v>0</v>
      </c>
      <c r="M228" s="257">
        <v>0</v>
      </c>
      <c r="N228" s="257">
        <v>0</v>
      </c>
      <c r="O228" s="257">
        <v>0</v>
      </c>
      <c r="P228" s="257">
        <v>1099.97</v>
      </c>
      <c r="Q228" s="257">
        <v>0</v>
      </c>
      <c r="R228" s="257">
        <v>0</v>
      </c>
      <c r="S228" s="257">
        <v>0</v>
      </c>
      <c r="T228" s="256">
        <v>4403.07</v>
      </c>
      <c r="U228" s="256">
        <v>0</v>
      </c>
      <c r="V228" s="256">
        <f t="shared" si="7"/>
        <v>100900.94</v>
      </c>
      <c r="W228" s="230"/>
    </row>
    <row r="229" spans="1:23" s="232" customFormat="1" ht="12.75" hidden="1" outlineLevel="1">
      <c r="A229" s="230" t="s">
        <v>2452</v>
      </c>
      <c r="B229" s="231"/>
      <c r="C229" s="231" t="s">
        <v>2453</v>
      </c>
      <c r="D229" s="231" t="s">
        <v>2454</v>
      </c>
      <c r="E229" s="256">
        <v>29491.25</v>
      </c>
      <c r="F229" s="256">
        <v>4970.31</v>
      </c>
      <c r="G229" s="256"/>
      <c r="H229" s="257">
        <v>0</v>
      </c>
      <c r="I229" s="257">
        <v>0</v>
      </c>
      <c r="J229" s="257">
        <v>0</v>
      </c>
      <c r="K229" s="257">
        <v>0</v>
      </c>
      <c r="L229" s="257">
        <v>0</v>
      </c>
      <c r="M229" s="257">
        <v>0</v>
      </c>
      <c r="N229" s="257">
        <v>0</v>
      </c>
      <c r="O229" s="257">
        <v>0</v>
      </c>
      <c r="P229" s="257">
        <v>0</v>
      </c>
      <c r="Q229" s="257">
        <v>0</v>
      </c>
      <c r="R229" s="257">
        <v>0</v>
      </c>
      <c r="S229" s="257">
        <v>0</v>
      </c>
      <c r="T229" s="256">
        <v>0</v>
      </c>
      <c r="U229" s="256">
        <v>0</v>
      </c>
      <c r="V229" s="256">
        <f t="shared" si="7"/>
        <v>34461.56</v>
      </c>
      <c r="W229" s="230"/>
    </row>
    <row r="230" spans="1:23" s="232" customFormat="1" ht="12.75" hidden="1" outlineLevel="1">
      <c r="A230" s="230" t="s">
        <v>2455</v>
      </c>
      <c r="B230" s="231"/>
      <c r="C230" s="231" t="s">
        <v>2456</v>
      </c>
      <c r="D230" s="231" t="s">
        <v>2457</v>
      </c>
      <c r="E230" s="256">
        <v>257717.86</v>
      </c>
      <c r="F230" s="256">
        <v>0</v>
      </c>
      <c r="G230" s="256"/>
      <c r="H230" s="257">
        <v>0</v>
      </c>
      <c r="I230" s="257">
        <v>0</v>
      </c>
      <c r="J230" s="257">
        <v>0</v>
      </c>
      <c r="K230" s="257">
        <v>0</v>
      </c>
      <c r="L230" s="257">
        <v>0</v>
      </c>
      <c r="M230" s="257">
        <v>0</v>
      </c>
      <c r="N230" s="257">
        <v>0</v>
      </c>
      <c r="O230" s="257">
        <v>0</v>
      </c>
      <c r="P230" s="257">
        <v>0</v>
      </c>
      <c r="Q230" s="257">
        <v>0</v>
      </c>
      <c r="R230" s="257">
        <v>0</v>
      </c>
      <c r="S230" s="257">
        <v>17679.7</v>
      </c>
      <c r="T230" s="256">
        <v>17679.7</v>
      </c>
      <c r="U230" s="256">
        <v>0</v>
      </c>
      <c r="V230" s="256">
        <f t="shared" si="7"/>
        <v>275397.56</v>
      </c>
      <c r="W230" s="230"/>
    </row>
    <row r="231" spans="1:23" s="232" customFormat="1" ht="12.75" hidden="1" outlineLevel="1">
      <c r="A231" s="230" t="s">
        <v>2458</v>
      </c>
      <c r="B231" s="231"/>
      <c r="C231" s="231" t="s">
        <v>2459</v>
      </c>
      <c r="D231" s="231" t="s">
        <v>2460</v>
      </c>
      <c r="E231" s="256">
        <v>90710.92</v>
      </c>
      <c r="F231" s="256">
        <v>0</v>
      </c>
      <c r="G231" s="256"/>
      <c r="H231" s="257">
        <v>0</v>
      </c>
      <c r="I231" s="257">
        <v>0</v>
      </c>
      <c r="J231" s="257">
        <v>0</v>
      </c>
      <c r="K231" s="257">
        <v>0</v>
      </c>
      <c r="L231" s="257">
        <v>0</v>
      </c>
      <c r="M231" s="257">
        <v>0</v>
      </c>
      <c r="N231" s="257">
        <v>0</v>
      </c>
      <c r="O231" s="257">
        <v>0</v>
      </c>
      <c r="P231" s="257">
        <v>0</v>
      </c>
      <c r="Q231" s="257">
        <v>0</v>
      </c>
      <c r="R231" s="257">
        <v>0</v>
      </c>
      <c r="S231" s="257">
        <v>0</v>
      </c>
      <c r="T231" s="256">
        <v>0</v>
      </c>
      <c r="U231" s="256">
        <v>0</v>
      </c>
      <c r="V231" s="256">
        <f aca="true" t="shared" si="8" ref="V231:V294">E231+F231+G231+T231+U231</f>
        <v>90710.92</v>
      </c>
      <c r="W231" s="230"/>
    </row>
    <row r="232" spans="1:23" s="232" customFormat="1" ht="12.75" hidden="1" outlineLevel="1">
      <c r="A232" s="230" t="s">
        <v>2461</v>
      </c>
      <c r="B232" s="231"/>
      <c r="C232" s="231" t="s">
        <v>2462</v>
      </c>
      <c r="D232" s="231" t="s">
        <v>2463</v>
      </c>
      <c r="E232" s="256">
        <v>42022.77</v>
      </c>
      <c r="F232" s="256">
        <v>0</v>
      </c>
      <c r="G232" s="256"/>
      <c r="H232" s="257">
        <v>0</v>
      </c>
      <c r="I232" s="257">
        <v>0</v>
      </c>
      <c r="J232" s="257">
        <v>0</v>
      </c>
      <c r="K232" s="257">
        <v>0</v>
      </c>
      <c r="L232" s="257">
        <v>0</v>
      </c>
      <c r="M232" s="257">
        <v>0</v>
      </c>
      <c r="N232" s="257">
        <v>0</v>
      </c>
      <c r="O232" s="257">
        <v>0</v>
      </c>
      <c r="P232" s="257">
        <v>0</v>
      </c>
      <c r="Q232" s="257">
        <v>0</v>
      </c>
      <c r="R232" s="257">
        <v>0</v>
      </c>
      <c r="S232" s="257">
        <v>0</v>
      </c>
      <c r="T232" s="256">
        <v>0</v>
      </c>
      <c r="U232" s="256">
        <v>0</v>
      </c>
      <c r="V232" s="256">
        <f t="shared" si="8"/>
        <v>42022.77</v>
      </c>
      <c r="W232" s="230"/>
    </row>
    <row r="233" spans="1:23" s="232" customFormat="1" ht="12.75" hidden="1" outlineLevel="1">
      <c r="A233" s="230" t="s">
        <v>2464</v>
      </c>
      <c r="B233" s="231"/>
      <c r="C233" s="231" t="s">
        <v>2465</v>
      </c>
      <c r="D233" s="231" t="s">
        <v>2466</v>
      </c>
      <c r="E233" s="256">
        <v>186118.59</v>
      </c>
      <c r="F233" s="256">
        <v>9980.22</v>
      </c>
      <c r="G233" s="256"/>
      <c r="H233" s="257">
        <v>0</v>
      </c>
      <c r="I233" s="257">
        <v>0</v>
      </c>
      <c r="J233" s="257">
        <v>0</v>
      </c>
      <c r="K233" s="257">
        <v>0</v>
      </c>
      <c r="L233" s="257">
        <v>0</v>
      </c>
      <c r="M233" s="257">
        <v>0</v>
      </c>
      <c r="N233" s="257">
        <v>0</v>
      </c>
      <c r="O233" s="257">
        <v>0</v>
      </c>
      <c r="P233" s="257">
        <v>0</v>
      </c>
      <c r="Q233" s="257">
        <v>0</v>
      </c>
      <c r="R233" s="257">
        <v>0</v>
      </c>
      <c r="S233" s="257">
        <v>2047.6</v>
      </c>
      <c r="T233" s="256">
        <v>2047.6</v>
      </c>
      <c r="U233" s="256">
        <v>0</v>
      </c>
      <c r="V233" s="256">
        <f t="shared" si="8"/>
        <v>198146.41</v>
      </c>
      <c r="W233" s="230"/>
    </row>
    <row r="234" spans="1:23" s="232" customFormat="1" ht="12.75" hidden="1" outlineLevel="1">
      <c r="A234" s="230" t="s">
        <v>2467</v>
      </c>
      <c r="B234" s="231"/>
      <c r="C234" s="231" t="s">
        <v>2468</v>
      </c>
      <c r="D234" s="231" t="s">
        <v>2469</v>
      </c>
      <c r="E234" s="256">
        <v>29577.75</v>
      </c>
      <c r="F234" s="256">
        <v>0</v>
      </c>
      <c r="G234" s="256"/>
      <c r="H234" s="257">
        <v>0</v>
      </c>
      <c r="I234" s="257">
        <v>0</v>
      </c>
      <c r="J234" s="257">
        <v>0</v>
      </c>
      <c r="K234" s="257">
        <v>0</v>
      </c>
      <c r="L234" s="257">
        <v>0</v>
      </c>
      <c r="M234" s="257">
        <v>0</v>
      </c>
      <c r="N234" s="257">
        <v>0</v>
      </c>
      <c r="O234" s="257">
        <v>0</v>
      </c>
      <c r="P234" s="257">
        <v>0</v>
      </c>
      <c r="Q234" s="257">
        <v>0</v>
      </c>
      <c r="R234" s="257">
        <v>0</v>
      </c>
      <c r="S234" s="257">
        <v>0</v>
      </c>
      <c r="T234" s="256">
        <v>0</v>
      </c>
      <c r="U234" s="256">
        <v>0</v>
      </c>
      <c r="V234" s="256">
        <f t="shared" si="8"/>
        <v>29577.75</v>
      </c>
      <c r="W234" s="230"/>
    </row>
    <row r="235" spans="1:23" s="232" customFormat="1" ht="12.75" hidden="1" outlineLevel="1">
      <c r="A235" s="230" t="s">
        <v>2470</v>
      </c>
      <c r="B235" s="231"/>
      <c r="C235" s="231" t="s">
        <v>2471</v>
      </c>
      <c r="D235" s="231" t="s">
        <v>2472</v>
      </c>
      <c r="E235" s="256">
        <v>1337.5</v>
      </c>
      <c r="F235" s="256">
        <v>0</v>
      </c>
      <c r="G235" s="256"/>
      <c r="H235" s="257">
        <v>0</v>
      </c>
      <c r="I235" s="257">
        <v>0</v>
      </c>
      <c r="J235" s="257">
        <v>0</v>
      </c>
      <c r="K235" s="257">
        <v>0</v>
      </c>
      <c r="L235" s="257">
        <v>0</v>
      </c>
      <c r="M235" s="257">
        <v>0</v>
      </c>
      <c r="N235" s="257">
        <v>0</v>
      </c>
      <c r="O235" s="257">
        <v>0</v>
      </c>
      <c r="P235" s="257">
        <v>0</v>
      </c>
      <c r="Q235" s="257">
        <v>0</v>
      </c>
      <c r="R235" s="257">
        <v>0</v>
      </c>
      <c r="S235" s="257">
        <v>0</v>
      </c>
      <c r="T235" s="256">
        <v>0</v>
      </c>
      <c r="U235" s="256">
        <v>0</v>
      </c>
      <c r="V235" s="256">
        <f t="shared" si="8"/>
        <v>1337.5</v>
      </c>
      <c r="W235" s="230"/>
    </row>
    <row r="236" spans="1:23" s="232" customFormat="1" ht="12.75" hidden="1" outlineLevel="1">
      <c r="A236" s="230" t="s">
        <v>2473</v>
      </c>
      <c r="B236" s="231"/>
      <c r="C236" s="231" t="s">
        <v>2474</v>
      </c>
      <c r="D236" s="231" t="s">
        <v>2475</v>
      </c>
      <c r="E236" s="256">
        <v>338239.41</v>
      </c>
      <c r="F236" s="256">
        <v>1798</v>
      </c>
      <c r="G236" s="256"/>
      <c r="H236" s="257">
        <v>0</v>
      </c>
      <c r="I236" s="257">
        <v>0</v>
      </c>
      <c r="J236" s="257">
        <v>0</v>
      </c>
      <c r="K236" s="257">
        <v>0</v>
      </c>
      <c r="L236" s="257">
        <v>15332</v>
      </c>
      <c r="M236" s="257">
        <v>0</v>
      </c>
      <c r="N236" s="257">
        <v>0</v>
      </c>
      <c r="O236" s="257">
        <v>0</v>
      </c>
      <c r="P236" s="257">
        <v>0</v>
      </c>
      <c r="Q236" s="257">
        <v>0</v>
      </c>
      <c r="R236" s="257">
        <v>0</v>
      </c>
      <c r="S236" s="257">
        <v>0</v>
      </c>
      <c r="T236" s="256">
        <v>15332</v>
      </c>
      <c r="U236" s="256">
        <v>0</v>
      </c>
      <c r="V236" s="256">
        <f t="shared" si="8"/>
        <v>355369.41</v>
      </c>
      <c r="W236" s="230"/>
    </row>
    <row r="237" spans="1:23" s="232" customFormat="1" ht="12.75" hidden="1" outlineLevel="1">
      <c r="A237" s="230" t="s">
        <v>2476</v>
      </c>
      <c r="B237" s="231"/>
      <c r="C237" s="231" t="s">
        <v>2477</v>
      </c>
      <c r="D237" s="231" t="s">
        <v>2478</v>
      </c>
      <c r="E237" s="256">
        <v>32665.11</v>
      </c>
      <c r="F237" s="256">
        <v>0</v>
      </c>
      <c r="G237" s="256"/>
      <c r="H237" s="257">
        <v>0</v>
      </c>
      <c r="I237" s="257">
        <v>0</v>
      </c>
      <c r="J237" s="257">
        <v>0</v>
      </c>
      <c r="K237" s="257">
        <v>0</v>
      </c>
      <c r="L237" s="257">
        <v>0</v>
      </c>
      <c r="M237" s="257">
        <v>0</v>
      </c>
      <c r="N237" s="257">
        <v>0</v>
      </c>
      <c r="O237" s="257">
        <v>0</v>
      </c>
      <c r="P237" s="257">
        <v>0</v>
      </c>
      <c r="Q237" s="257">
        <v>0</v>
      </c>
      <c r="R237" s="257">
        <v>0</v>
      </c>
      <c r="S237" s="257">
        <v>0</v>
      </c>
      <c r="T237" s="256">
        <v>0</v>
      </c>
      <c r="U237" s="256">
        <v>0</v>
      </c>
      <c r="V237" s="256">
        <f t="shared" si="8"/>
        <v>32665.11</v>
      </c>
      <c r="W237" s="230"/>
    </row>
    <row r="238" spans="1:23" s="232" customFormat="1" ht="12.75" hidden="1" outlineLevel="1">
      <c r="A238" s="230" t="s">
        <v>2479</v>
      </c>
      <c r="B238" s="231"/>
      <c r="C238" s="231" t="s">
        <v>2480</v>
      </c>
      <c r="D238" s="231" t="s">
        <v>2481</v>
      </c>
      <c r="E238" s="256">
        <v>874.55</v>
      </c>
      <c r="F238" s="256">
        <v>0</v>
      </c>
      <c r="G238" s="256"/>
      <c r="H238" s="257">
        <v>0</v>
      </c>
      <c r="I238" s="257">
        <v>0</v>
      </c>
      <c r="J238" s="257">
        <v>0</v>
      </c>
      <c r="K238" s="257">
        <v>0</v>
      </c>
      <c r="L238" s="257">
        <v>0</v>
      </c>
      <c r="M238" s="257">
        <v>0</v>
      </c>
      <c r="N238" s="257">
        <v>0</v>
      </c>
      <c r="O238" s="257">
        <v>0</v>
      </c>
      <c r="P238" s="257">
        <v>0</v>
      </c>
      <c r="Q238" s="257">
        <v>0</v>
      </c>
      <c r="R238" s="257">
        <v>0</v>
      </c>
      <c r="S238" s="257">
        <v>0</v>
      </c>
      <c r="T238" s="256">
        <v>0</v>
      </c>
      <c r="U238" s="256">
        <v>0</v>
      </c>
      <c r="V238" s="256">
        <f t="shared" si="8"/>
        <v>874.55</v>
      </c>
      <c r="W238" s="230"/>
    </row>
    <row r="239" spans="1:23" s="232" customFormat="1" ht="12.75" hidden="1" outlineLevel="1">
      <c r="A239" s="230" t="s">
        <v>2482</v>
      </c>
      <c r="B239" s="231"/>
      <c r="C239" s="231" t="s">
        <v>2483</v>
      </c>
      <c r="D239" s="231" t="s">
        <v>2484</v>
      </c>
      <c r="E239" s="256">
        <v>3756899.08</v>
      </c>
      <c r="F239" s="256">
        <v>50666.87</v>
      </c>
      <c r="G239" s="256"/>
      <c r="H239" s="257">
        <v>203</v>
      </c>
      <c r="I239" s="257">
        <v>18000</v>
      </c>
      <c r="J239" s="257">
        <v>0</v>
      </c>
      <c r="K239" s="257">
        <v>0</v>
      </c>
      <c r="L239" s="257">
        <v>184323.3</v>
      </c>
      <c r="M239" s="257">
        <v>0</v>
      </c>
      <c r="N239" s="257">
        <v>0</v>
      </c>
      <c r="O239" s="257">
        <v>0</v>
      </c>
      <c r="P239" s="257">
        <v>21000</v>
      </c>
      <c r="Q239" s="257">
        <v>0</v>
      </c>
      <c r="R239" s="257">
        <v>33844.78</v>
      </c>
      <c r="S239" s="257">
        <v>22789.51</v>
      </c>
      <c r="T239" s="256">
        <v>280160.59</v>
      </c>
      <c r="U239" s="256">
        <v>0</v>
      </c>
      <c r="V239" s="256">
        <f t="shared" si="8"/>
        <v>4087726.54</v>
      </c>
      <c r="W239" s="230"/>
    </row>
    <row r="240" spans="1:23" s="232" customFormat="1" ht="12.75" hidden="1" outlineLevel="1">
      <c r="A240" s="230" t="s">
        <v>2485</v>
      </c>
      <c r="B240" s="231"/>
      <c r="C240" s="231" t="s">
        <v>2486</v>
      </c>
      <c r="D240" s="231" t="s">
        <v>2487</v>
      </c>
      <c r="E240" s="256">
        <v>138</v>
      </c>
      <c r="F240" s="256">
        <v>0</v>
      </c>
      <c r="G240" s="256"/>
      <c r="H240" s="257">
        <v>0</v>
      </c>
      <c r="I240" s="257">
        <v>0</v>
      </c>
      <c r="J240" s="257">
        <v>0</v>
      </c>
      <c r="K240" s="257">
        <v>0</v>
      </c>
      <c r="L240" s="257">
        <v>0</v>
      </c>
      <c r="M240" s="257">
        <v>0</v>
      </c>
      <c r="N240" s="257">
        <v>0</v>
      </c>
      <c r="O240" s="257">
        <v>0</v>
      </c>
      <c r="P240" s="257">
        <v>0</v>
      </c>
      <c r="Q240" s="257">
        <v>0</v>
      </c>
      <c r="R240" s="257">
        <v>0</v>
      </c>
      <c r="S240" s="257">
        <v>0</v>
      </c>
      <c r="T240" s="256">
        <v>0</v>
      </c>
      <c r="U240" s="256">
        <v>0</v>
      </c>
      <c r="V240" s="256">
        <f t="shared" si="8"/>
        <v>138</v>
      </c>
      <c r="W240" s="230"/>
    </row>
    <row r="241" spans="1:23" s="232" customFormat="1" ht="12.75" hidden="1" outlineLevel="1">
      <c r="A241" s="230" t="s">
        <v>2488</v>
      </c>
      <c r="B241" s="231"/>
      <c r="C241" s="231" t="s">
        <v>2489</v>
      </c>
      <c r="D241" s="231" t="s">
        <v>2490</v>
      </c>
      <c r="E241" s="256">
        <v>-50</v>
      </c>
      <c r="F241" s="256">
        <v>0</v>
      </c>
      <c r="G241" s="256"/>
      <c r="H241" s="257">
        <v>0</v>
      </c>
      <c r="I241" s="257">
        <v>0</v>
      </c>
      <c r="J241" s="257">
        <v>0</v>
      </c>
      <c r="K241" s="257">
        <v>0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v>0</v>
      </c>
      <c r="S241" s="257">
        <v>0</v>
      </c>
      <c r="T241" s="256">
        <v>0</v>
      </c>
      <c r="U241" s="256">
        <v>0</v>
      </c>
      <c r="V241" s="256">
        <f t="shared" si="8"/>
        <v>-50</v>
      </c>
      <c r="W241" s="230"/>
    </row>
    <row r="242" spans="1:23" s="232" customFormat="1" ht="12.75" hidden="1" outlineLevel="1">
      <c r="A242" s="230" t="s">
        <v>2491</v>
      </c>
      <c r="B242" s="231"/>
      <c r="C242" s="231" t="s">
        <v>2492</v>
      </c>
      <c r="D242" s="231" t="s">
        <v>2493</v>
      </c>
      <c r="E242" s="256">
        <v>43315</v>
      </c>
      <c r="F242" s="256">
        <v>0</v>
      </c>
      <c r="G242" s="256"/>
      <c r="H242" s="257">
        <v>0</v>
      </c>
      <c r="I242" s="257">
        <v>0</v>
      </c>
      <c r="J242" s="257">
        <v>0</v>
      </c>
      <c r="K242" s="257">
        <v>0</v>
      </c>
      <c r="L242" s="257">
        <v>0</v>
      </c>
      <c r="M242" s="257">
        <v>0</v>
      </c>
      <c r="N242" s="257">
        <v>0</v>
      </c>
      <c r="O242" s="257">
        <v>0</v>
      </c>
      <c r="P242" s="257">
        <v>0</v>
      </c>
      <c r="Q242" s="257">
        <v>0</v>
      </c>
      <c r="R242" s="257">
        <v>0</v>
      </c>
      <c r="S242" s="257">
        <v>0</v>
      </c>
      <c r="T242" s="256">
        <v>0</v>
      </c>
      <c r="U242" s="256">
        <v>0</v>
      </c>
      <c r="V242" s="256">
        <f t="shared" si="8"/>
        <v>43315</v>
      </c>
      <c r="W242" s="230"/>
    </row>
    <row r="243" spans="1:23" s="232" customFormat="1" ht="12.75" hidden="1" outlineLevel="1">
      <c r="A243" s="230" t="s">
        <v>2497</v>
      </c>
      <c r="B243" s="231"/>
      <c r="C243" s="231" t="s">
        <v>2498</v>
      </c>
      <c r="D243" s="231" t="s">
        <v>2499</v>
      </c>
      <c r="E243" s="256">
        <v>-79082.51</v>
      </c>
      <c r="F243" s="256">
        <v>0</v>
      </c>
      <c r="G243" s="256"/>
      <c r="H243" s="257">
        <v>0</v>
      </c>
      <c r="I243" s="257">
        <v>0</v>
      </c>
      <c r="J243" s="257">
        <v>0</v>
      </c>
      <c r="K243" s="257">
        <v>0</v>
      </c>
      <c r="L243" s="257">
        <v>0</v>
      </c>
      <c r="M243" s="257">
        <v>0</v>
      </c>
      <c r="N243" s="257">
        <v>0</v>
      </c>
      <c r="O243" s="257">
        <v>0</v>
      </c>
      <c r="P243" s="257">
        <v>0</v>
      </c>
      <c r="Q243" s="257">
        <v>0</v>
      </c>
      <c r="R243" s="257">
        <v>0</v>
      </c>
      <c r="S243" s="257">
        <v>215</v>
      </c>
      <c r="T243" s="256">
        <v>215</v>
      </c>
      <c r="U243" s="256">
        <v>0</v>
      </c>
      <c r="V243" s="256">
        <f t="shared" si="8"/>
        <v>-78867.51</v>
      </c>
      <c r="W243" s="230"/>
    </row>
    <row r="244" spans="1:23" s="232" customFormat="1" ht="12.75" hidden="1" outlineLevel="1">
      <c r="A244" s="230" t="s">
        <v>2500</v>
      </c>
      <c r="B244" s="231"/>
      <c r="C244" s="231" t="s">
        <v>2501</v>
      </c>
      <c r="D244" s="231" t="s">
        <v>2502</v>
      </c>
      <c r="E244" s="256">
        <v>1612903.28</v>
      </c>
      <c r="F244" s="256">
        <v>0</v>
      </c>
      <c r="G244" s="256"/>
      <c r="H244" s="257">
        <v>0</v>
      </c>
      <c r="I244" s="257">
        <v>0</v>
      </c>
      <c r="J244" s="257">
        <v>0</v>
      </c>
      <c r="K244" s="257">
        <v>1565.05</v>
      </c>
      <c r="L244" s="257">
        <v>0</v>
      </c>
      <c r="M244" s="257">
        <v>0</v>
      </c>
      <c r="N244" s="257">
        <v>0</v>
      </c>
      <c r="O244" s="257">
        <v>0</v>
      </c>
      <c r="P244" s="257">
        <v>0</v>
      </c>
      <c r="Q244" s="257">
        <v>0</v>
      </c>
      <c r="R244" s="257">
        <v>49648.54</v>
      </c>
      <c r="S244" s="257">
        <v>91.34</v>
      </c>
      <c r="T244" s="256">
        <v>51304.93</v>
      </c>
      <c r="U244" s="256">
        <v>0</v>
      </c>
      <c r="V244" s="256">
        <f t="shared" si="8"/>
        <v>1664208.21</v>
      </c>
      <c r="W244" s="230"/>
    </row>
    <row r="245" spans="1:23" s="232" customFormat="1" ht="12.75" hidden="1" outlineLevel="1">
      <c r="A245" s="230" t="s">
        <v>2506</v>
      </c>
      <c r="B245" s="231"/>
      <c r="C245" s="231" t="s">
        <v>2507</v>
      </c>
      <c r="D245" s="231" t="s">
        <v>2508</v>
      </c>
      <c r="E245" s="256">
        <v>883.64</v>
      </c>
      <c r="F245" s="256">
        <v>1507</v>
      </c>
      <c r="G245" s="256"/>
      <c r="H245" s="257">
        <v>0</v>
      </c>
      <c r="I245" s="257">
        <v>0</v>
      </c>
      <c r="J245" s="257">
        <v>0</v>
      </c>
      <c r="K245" s="257">
        <v>0</v>
      </c>
      <c r="L245" s="257">
        <v>0</v>
      </c>
      <c r="M245" s="257">
        <v>0</v>
      </c>
      <c r="N245" s="257">
        <v>0</v>
      </c>
      <c r="O245" s="257">
        <v>0</v>
      </c>
      <c r="P245" s="257">
        <v>0</v>
      </c>
      <c r="Q245" s="257">
        <v>0</v>
      </c>
      <c r="R245" s="257">
        <v>0</v>
      </c>
      <c r="S245" s="257">
        <v>0</v>
      </c>
      <c r="T245" s="256">
        <v>0</v>
      </c>
      <c r="U245" s="256">
        <v>0</v>
      </c>
      <c r="V245" s="256">
        <f t="shared" si="8"/>
        <v>2390.64</v>
      </c>
      <c r="W245" s="230"/>
    </row>
    <row r="246" spans="1:23" s="232" customFormat="1" ht="12.75" hidden="1" outlineLevel="1">
      <c r="A246" s="230" t="s">
        <v>2509</v>
      </c>
      <c r="B246" s="231"/>
      <c r="C246" s="231" t="s">
        <v>2510</v>
      </c>
      <c r="D246" s="231" t="s">
        <v>2511</v>
      </c>
      <c r="E246" s="256">
        <v>6383.27</v>
      </c>
      <c r="F246" s="256">
        <v>0</v>
      </c>
      <c r="G246" s="256"/>
      <c r="H246" s="257">
        <v>0</v>
      </c>
      <c r="I246" s="257">
        <v>0</v>
      </c>
      <c r="J246" s="257">
        <v>0</v>
      </c>
      <c r="K246" s="257">
        <v>0</v>
      </c>
      <c r="L246" s="257">
        <v>0</v>
      </c>
      <c r="M246" s="257">
        <v>0</v>
      </c>
      <c r="N246" s="257">
        <v>0</v>
      </c>
      <c r="O246" s="257">
        <v>0</v>
      </c>
      <c r="P246" s="257">
        <v>0</v>
      </c>
      <c r="Q246" s="257">
        <v>0</v>
      </c>
      <c r="R246" s="257">
        <v>0</v>
      </c>
      <c r="S246" s="257">
        <v>0</v>
      </c>
      <c r="T246" s="256">
        <v>0</v>
      </c>
      <c r="U246" s="256">
        <v>0</v>
      </c>
      <c r="V246" s="256">
        <f t="shared" si="8"/>
        <v>6383.27</v>
      </c>
      <c r="W246" s="230"/>
    </row>
    <row r="247" spans="1:23" s="232" customFormat="1" ht="12.75" hidden="1" outlineLevel="1">
      <c r="A247" s="230" t="s">
        <v>2512</v>
      </c>
      <c r="B247" s="231"/>
      <c r="C247" s="231" t="s">
        <v>2513</v>
      </c>
      <c r="D247" s="231" t="s">
        <v>2514</v>
      </c>
      <c r="E247" s="256">
        <v>7950.69</v>
      </c>
      <c r="F247" s="256">
        <v>0</v>
      </c>
      <c r="G247" s="256"/>
      <c r="H247" s="257">
        <v>0</v>
      </c>
      <c r="I247" s="257">
        <v>0</v>
      </c>
      <c r="J247" s="257">
        <v>0</v>
      </c>
      <c r="K247" s="257">
        <v>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v>0</v>
      </c>
      <c r="S247" s="257">
        <v>0</v>
      </c>
      <c r="T247" s="256">
        <v>0</v>
      </c>
      <c r="U247" s="256">
        <v>0</v>
      </c>
      <c r="V247" s="256">
        <f t="shared" si="8"/>
        <v>7950.69</v>
      </c>
      <c r="W247" s="230"/>
    </row>
    <row r="248" spans="1:23" s="232" customFormat="1" ht="12.75" hidden="1" outlineLevel="1">
      <c r="A248" s="230" t="s">
        <v>2515</v>
      </c>
      <c r="B248" s="231"/>
      <c r="C248" s="231" t="s">
        <v>2516</v>
      </c>
      <c r="D248" s="231" t="s">
        <v>2517</v>
      </c>
      <c r="E248" s="256">
        <v>51.24</v>
      </c>
      <c r="F248" s="256">
        <v>0</v>
      </c>
      <c r="G248" s="256"/>
      <c r="H248" s="257">
        <v>0</v>
      </c>
      <c r="I248" s="257">
        <v>0</v>
      </c>
      <c r="J248" s="257">
        <v>0</v>
      </c>
      <c r="K248" s="257">
        <v>0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v>0</v>
      </c>
      <c r="S248" s="257">
        <v>0</v>
      </c>
      <c r="T248" s="256">
        <v>0</v>
      </c>
      <c r="U248" s="256">
        <v>0</v>
      </c>
      <c r="V248" s="256">
        <f t="shared" si="8"/>
        <v>51.24</v>
      </c>
      <c r="W248" s="230"/>
    </row>
    <row r="249" spans="1:23" s="232" customFormat="1" ht="12.75" hidden="1" outlineLevel="1">
      <c r="A249" s="230" t="s">
        <v>2518</v>
      </c>
      <c r="B249" s="231"/>
      <c r="C249" s="231" t="s">
        <v>2519</v>
      </c>
      <c r="D249" s="231" t="s">
        <v>2520</v>
      </c>
      <c r="E249" s="256">
        <v>65942.6</v>
      </c>
      <c r="F249" s="256">
        <v>8855.35</v>
      </c>
      <c r="G249" s="256"/>
      <c r="H249" s="257">
        <v>0</v>
      </c>
      <c r="I249" s="257">
        <v>0</v>
      </c>
      <c r="J249" s="257">
        <v>0</v>
      </c>
      <c r="K249" s="257">
        <v>0</v>
      </c>
      <c r="L249" s="257">
        <v>0</v>
      </c>
      <c r="M249" s="257">
        <v>0</v>
      </c>
      <c r="N249" s="257">
        <v>0</v>
      </c>
      <c r="O249" s="257">
        <v>0</v>
      </c>
      <c r="P249" s="257">
        <v>0</v>
      </c>
      <c r="Q249" s="257">
        <v>0</v>
      </c>
      <c r="R249" s="257">
        <v>0</v>
      </c>
      <c r="S249" s="257">
        <v>0</v>
      </c>
      <c r="T249" s="256">
        <v>0</v>
      </c>
      <c r="U249" s="256">
        <v>0</v>
      </c>
      <c r="V249" s="256">
        <f t="shared" si="8"/>
        <v>74797.95000000001</v>
      </c>
      <c r="W249" s="230"/>
    </row>
    <row r="250" spans="1:23" s="232" customFormat="1" ht="12.75" hidden="1" outlineLevel="1">
      <c r="A250" s="230" t="s">
        <v>2521</v>
      </c>
      <c r="B250" s="231"/>
      <c r="C250" s="231" t="s">
        <v>2522</v>
      </c>
      <c r="D250" s="231" t="s">
        <v>2523</v>
      </c>
      <c r="E250" s="256">
        <v>471979.72</v>
      </c>
      <c r="F250" s="256">
        <v>50508.31</v>
      </c>
      <c r="G250" s="256"/>
      <c r="H250" s="257">
        <v>0</v>
      </c>
      <c r="I250" s="257">
        <v>0</v>
      </c>
      <c r="J250" s="257">
        <v>0</v>
      </c>
      <c r="K250" s="257">
        <v>0</v>
      </c>
      <c r="L250" s="257">
        <v>0</v>
      </c>
      <c r="M250" s="257">
        <v>129.15</v>
      </c>
      <c r="N250" s="257">
        <v>0</v>
      </c>
      <c r="O250" s="257">
        <v>0</v>
      </c>
      <c r="P250" s="257">
        <v>12045.5</v>
      </c>
      <c r="Q250" s="257">
        <v>0</v>
      </c>
      <c r="R250" s="257">
        <v>0</v>
      </c>
      <c r="S250" s="257">
        <v>70304.35</v>
      </c>
      <c r="T250" s="256">
        <v>82479</v>
      </c>
      <c r="U250" s="256">
        <v>0</v>
      </c>
      <c r="V250" s="256">
        <f t="shared" si="8"/>
        <v>604967.03</v>
      </c>
      <c r="W250" s="230"/>
    </row>
    <row r="251" spans="1:23" s="232" customFormat="1" ht="12.75" hidden="1" outlineLevel="1">
      <c r="A251" s="230" t="s">
        <v>2524</v>
      </c>
      <c r="B251" s="231"/>
      <c r="C251" s="231" t="s">
        <v>2525</v>
      </c>
      <c r="D251" s="231" t="s">
        <v>2526</v>
      </c>
      <c r="E251" s="256">
        <v>377700.61</v>
      </c>
      <c r="F251" s="256">
        <v>14061.25</v>
      </c>
      <c r="G251" s="256"/>
      <c r="H251" s="257">
        <v>0</v>
      </c>
      <c r="I251" s="257">
        <v>0</v>
      </c>
      <c r="J251" s="257">
        <v>0</v>
      </c>
      <c r="K251" s="257">
        <v>0</v>
      </c>
      <c r="L251" s="257">
        <v>9990</v>
      </c>
      <c r="M251" s="257">
        <v>0</v>
      </c>
      <c r="N251" s="257">
        <v>800</v>
      </c>
      <c r="O251" s="257">
        <v>0</v>
      </c>
      <c r="P251" s="257">
        <v>0</v>
      </c>
      <c r="Q251" s="257">
        <v>0</v>
      </c>
      <c r="R251" s="257">
        <v>10677.09</v>
      </c>
      <c r="S251" s="257">
        <v>0</v>
      </c>
      <c r="T251" s="256">
        <v>21467.09</v>
      </c>
      <c r="U251" s="256">
        <v>0</v>
      </c>
      <c r="V251" s="256">
        <f t="shared" si="8"/>
        <v>413228.95</v>
      </c>
      <c r="W251" s="230"/>
    </row>
    <row r="252" spans="1:23" s="232" customFormat="1" ht="12.75" hidden="1" outlineLevel="1">
      <c r="A252" s="230" t="s">
        <v>2527</v>
      </c>
      <c r="B252" s="231"/>
      <c r="C252" s="231" t="s">
        <v>2528</v>
      </c>
      <c r="D252" s="231" t="s">
        <v>2529</v>
      </c>
      <c r="E252" s="256">
        <v>1562.87</v>
      </c>
      <c r="F252" s="256">
        <v>0</v>
      </c>
      <c r="G252" s="256"/>
      <c r="H252" s="257">
        <v>0</v>
      </c>
      <c r="I252" s="257">
        <v>0</v>
      </c>
      <c r="J252" s="257">
        <v>0</v>
      </c>
      <c r="K252" s="257">
        <v>0</v>
      </c>
      <c r="L252" s="257">
        <v>0</v>
      </c>
      <c r="M252" s="257">
        <v>0</v>
      </c>
      <c r="N252" s="257">
        <v>0</v>
      </c>
      <c r="O252" s="257">
        <v>0</v>
      </c>
      <c r="P252" s="257">
        <v>0</v>
      </c>
      <c r="Q252" s="257">
        <v>0</v>
      </c>
      <c r="R252" s="257">
        <v>0</v>
      </c>
      <c r="S252" s="257">
        <v>0</v>
      </c>
      <c r="T252" s="256">
        <v>0</v>
      </c>
      <c r="U252" s="256">
        <v>0</v>
      </c>
      <c r="V252" s="256">
        <f t="shared" si="8"/>
        <v>1562.87</v>
      </c>
      <c r="W252" s="230"/>
    </row>
    <row r="253" spans="1:23" s="232" customFormat="1" ht="12.75" hidden="1" outlineLevel="1">
      <c r="A253" s="230" t="s">
        <v>2530</v>
      </c>
      <c r="B253" s="231"/>
      <c r="C253" s="231" t="s">
        <v>2531</v>
      </c>
      <c r="D253" s="231" t="s">
        <v>2532</v>
      </c>
      <c r="E253" s="256">
        <v>7010.32</v>
      </c>
      <c r="F253" s="256">
        <v>0</v>
      </c>
      <c r="G253" s="256"/>
      <c r="H253" s="257">
        <v>0</v>
      </c>
      <c r="I253" s="257">
        <v>0</v>
      </c>
      <c r="J253" s="257">
        <v>0</v>
      </c>
      <c r="K253" s="257">
        <v>0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v>0</v>
      </c>
      <c r="S253" s="257">
        <v>0</v>
      </c>
      <c r="T253" s="256">
        <v>0</v>
      </c>
      <c r="U253" s="256">
        <v>0</v>
      </c>
      <c r="V253" s="256">
        <f t="shared" si="8"/>
        <v>7010.32</v>
      </c>
      <c r="W253" s="230"/>
    </row>
    <row r="254" spans="1:23" s="232" customFormat="1" ht="12.75" hidden="1" outlineLevel="1">
      <c r="A254" s="230" t="s">
        <v>2533</v>
      </c>
      <c r="B254" s="231"/>
      <c r="C254" s="231" t="s">
        <v>2534</v>
      </c>
      <c r="D254" s="231" t="s">
        <v>2535</v>
      </c>
      <c r="E254" s="256">
        <v>50</v>
      </c>
      <c r="F254" s="256">
        <v>7012</v>
      </c>
      <c r="G254" s="256"/>
      <c r="H254" s="257">
        <v>0</v>
      </c>
      <c r="I254" s="257">
        <v>0</v>
      </c>
      <c r="J254" s="257">
        <v>0</v>
      </c>
      <c r="K254" s="257">
        <v>0</v>
      </c>
      <c r="L254" s="257">
        <v>0</v>
      </c>
      <c r="M254" s="257">
        <v>0</v>
      </c>
      <c r="N254" s="257">
        <v>0</v>
      </c>
      <c r="O254" s="257">
        <v>0</v>
      </c>
      <c r="P254" s="257">
        <v>0</v>
      </c>
      <c r="Q254" s="257">
        <v>0</v>
      </c>
      <c r="R254" s="257">
        <v>0</v>
      </c>
      <c r="S254" s="257">
        <v>0</v>
      </c>
      <c r="T254" s="256">
        <v>0</v>
      </c>
      <c r="U254" s="256">
        <v>0</v>
      </c>
      <c r="V254" s="256">
        <f t="shared" si="8"/>
        <v>7062</v>
      </c>
      <c r="W254" s="230"/>
    </row>
    <row r="255" spans="1:23" s="232" customFormat="1" ht="12.75" hidden="1" outlineLevel="1">
      <c r="A255" s="230" t="s">
        <v>2536</v>
      </c>
      <c r="B255" s="231"/>
      <c r="C255" s="231" t="s">
        <v>2537</v>
      </c>
      <c r="D255" s="231" t="s">
        <v>2538</v>
      </c>
      <c r="E255" s="256">
        <v>23116.92</v>
      </c>
      <c r="F255" s="256">
        <v>265.5</v>
      </c>
      <c r="G255" s="256"/>
      <c r="H255" s="257">
        <v>0</v>
      </c>
      <c r="I255" s="257">
        <v>0</v>
      </c>
      <c r="J255" s="257">
        <v>0</v>
      </c>
      <c r="K255" s="257">
        <v>0</v>
      </c>
      <c r="L255" s="257">
        <v>0</v>
      </c>
      <c r="M255" s="257">
        <v>0</v>
      </c>
      <c r="N255" s="257">
        <v>0</v>
      </c>
      <c r="O255" s="257">
        <v>0</v>
      </c>
      <c r="P255" s="257">
        <v>0</v>
      </c>
      <c r="Q255" s="257">
        <v>0</v>
      </c>
      <c r="R255" s="257">
        <v>0</v>
      </c>
      <c r="S255" s="257">
        <v>704.75</v>
      </c>
      <c r="T255" s="256">
        <v>704.75</v>
      </c>
      <c r="U255" s="256">
        <v>0</v>
      </c>
      <c r="V255" s="256">
        <f t="shared" si="8"/>
        <v>24087.17</v>
      </c>
      <c r="W255" s="230"/>
    </row>
    <row r="256" spans="1:23" s="232" customFormat="1" ht="12.75" hidden="1" outlineLevel="1">
      <c r="A256" s="230" t="s">
        <v>2539</v>
      </c>
      <c r="B256" s="231"/>
      <c r="C256" s="231" t="s">
        <v>2540</v>
      </c>
      <c r="D256" s="231" t="s">
        <v>2541</v>
      </c>
      <c r="E256" s="256">
        <v>19308.67</v>
      </c>
      <c r="F256" s="256">
        <v>10</v>
      </c>
      <c r="G256" s="256"/>
      <c r="H256" s="257">
        <v>0</v>
      </c>
      <c r="I256" s="257">
        <v>1677.5</v>
      </c>
      <c r="J256" s="257">
        <v>5</v>
      </c>
      <c r="K256" s="257">
        <v>0</v>
      </c>
      <c r="L256" s="257">
        <v>10</v>
      </c>
      <c r="M256" s="257">
        <v>0</v>
      </c>
      <c r="N256" s="257">
        <v>0</v>
      </c>
      <c r="O256" s="257">
        <v>0</v>
      </c>
      <c r="P256" s="257">
        <v>7.5</v>
      </c>
      <c r="Q256" s="257">
        <v>0</v>
      </c>
      <c r="R256" s="257">
        <v>71</v>
      </c>
      <c r="S256" s="257">
        <v>4357.2</v>
      </c>
      <c r="T256" s="256">
        <v>6128.2</v>
      </c>
      <c r="U256" s="256">
        <v>0</v>
      </c>
      <c r="V256" s="256">
        <f t="shared" si="8"/>
        <v>25446.87</v>
      </c>
      <c r="W256" s="230"/>
    </row>
    <row r="257" spans="1:23" s="232" customFormat="1" ht="12.75" hidden="1" outlineLevel="1">
      <c r="A257" s="230" t="s">
        <v>2542</v>
      </c>
      <c r="B257" s="231"/>
      <c r="C257" s="231" t="s">
        <v>2543</v>
      </c>
      <c r="D257" s="231" t="s">
        <v>2544</v>
      </c>
      <c r="E257" s="256">
        <v>7007.7</v>
      </c>
      <c r="F257" s="256">
        <v>0</v>
      </c>
      <c r="G257" s="256"/>
      <c r="H257" s="257">
        <v>0</v>
      </c>
      <c r="I257" s="257">
        <v>0</v>
      </c>
      <c r="J257" s="257">
        <v>0</v>
      </c>
      <c r="K257" s="257">
        <v>0</v>
      </c>
      <c r="L257" s="257">
        <v>0</v>
      </c>
      <c r="M257" s="257">
        <v>0</v>
      </c>
      <c r="N257" s="257">
        <v>0</v>
      </c>
      <c r="O257" s="257">
        <v>0</v>
      </c>
      <c r="P257" s="257">
        <v>0</v>
      </c>
      <c r="Q257" s="257">
        <v>0</v>
      </c>
      <c r="R257" s="257">
        <v>0</v>
      </c>
      <c r="S257" s="257">
        <v>0</v>
      </c>
      <c r="T257" s="256">
        <v>0</v>
      </c>
      <c r="U257" s="256">
        <v>0</v>
      </c>
      <c r="V257" s="256">
        <f t="shared" si="8"/>
        <v>7007.7</v>
      </c>
      <c r="W257" s="230"/>
    </row>
    <row r="258" spans="1:23" s="232" customFormat="1" ht="12.75" hidden="1" outlineLevel="1">
      <c r="A258" s="230" t="s">
        <v>2545</v>
      </c>
      <c r="B258" s="231"/>
      <c r="C258" s="231" t="s">
        <v>2546</v>
      </c>
      <c r="D258" s="231" t="s">
        <v>2547</v>
      </c>
      <c r="E258" s="256">
        <v>8155.78</v>
      </c>
      <c r="F258" s="256">
        <v>1945</v>
      </c>
      <c r="G258" s="256"/>
      <c r="H258" s="257">
        <v>0</v>
      </c>
      <c r="I258" s="257">
        <v>0</v>
      </c>
      <c r="J258" s="257">
        <v>0</v>
      </c>
      <c r="K258" s="257">
        <v>0</v>
      </c>
      <c r="L258" s="257">
        <v>0</v>
      </c>
      <c r="M258" s="257">
        <v>0</v>
      </c>
      <c r="N258" s="257">
        <v>0</v>
      </c>
      <c r="O258" s="257">
        <v>0</v>
      </c>
      <c r="P258" s="257">
        <v>0</v>
      </c>
      <c r="Q258" s="257">
        <v>0</v>
      </c>
      <c r="R258" s="257">
        <v>0</v>
      </c>
      <c r="S258" s="257">
        <v>0</v>
      </c>
      <c r="T258" s="256">
        <v>0</v>
      </c>
      <c r="U258" s="256">
        <v>0</v>
      </c>
      <c r="V258" s="256">
        <f t="shared" si="8"/>
        <v>10100.779999999999</v>
      </c>
      <c r="W258" s="230"/>
    </row>
    <row r="259" spans="1:23" s="232" customFormat="1" ht="12.75" hidden="1" outlineLevel="1">
      <c r="A259" s="230" t="s">
        <v>2548</v>
      </c>
      <c r="B259" s="231"/>
      <c r="C259" s="231" t="s">
        <v>2549</v>
      </c>
      <c r="D259" s="231" t="s">
        <v>2550</v>
      </c>
      <c r="E259" s="256">
        <v>4489.9</v>
      </c>
      <c r="F259" s="256">
        <v>0</v>
      </c>
      <c r="G259" s="256"/>
      <c r="H259" s="257">
        <v>0</v>
      </c>
      <c r="I259" s="257">
        <v>836.94</v>
      </c>
      <c r="J259" s="257">
        <v>0</v>
      </c>
      <c r="K259" s="257">
        <v>0</v>
      </c>
      <c r="L259" s="257">
        <v>0</v>
      </c>
      <c r="M259" s="257">
        <v>0</v>
      </c>
      <c r="N259" s="257">
        <v>0</v>
      </c>
      <c r="O259" s="257">
        <v>0</v>
      </c>
      <c r="P259" s="257">
        <v>0</v>
      </c>
      <c r="Q259" s="257">
        <v>0</v>
      </c>
      <c r="R259" s="257">
        <v>0</v>
      </c>
      <c r="S259" s="257">
        <v>3580.73</v>
      </c>
      <c r="T259" s="256">
        <v>4417.67</v>
      </c>
      <c r="U259" s="256">
        <v>0</v>
      </c>
      <c r="V259" s="256">
        <f t="shared" si="8"/>
        <v>8907.57</v>
      </c>
      <c r="W259" s="230"/>
    </row>
    <row r="260" spans="1:23" s="232" customFormat="1" ht="12.75" hidden="1" outlineLevel="1">
      <c r="A260" s="230" t="s">
        <v>2551</v>
      </c>
      <c r="B260" s="231"/>
      <c r="C260" s="231" t="s">
        <v>2552</v>
      </c>
      <c r="D260" s="231" t="s">
        <v>2553</v>
      </c>
      <c r="E260" s="256">
        <v>2070932.55</v>
      </c>
      <c r="F260" s="256">
        <v>400</v>
      </c>
      <c r="G260" s="256"/>
      <c r="H260" s="257">
        <v>0</v>
      </c>
      <c r="I260" s="257">
        <v>0</v>
      </c>
      <c r="J260" s="257">
        <v>0</v>
      </c>
      <c r="K260" s="257">
        <v>0</v>
      </c>
      <c r="L260" s="257">
        <v>0</v>
      </c>
      <c r="M260" s="257">
        <v>0</v>
      </c>
      <c r="N260" s="257">
        <v>0</v>
      </c>
      <c r="O260" s="257">
        <v>0</v>
      </c>
      <c r="P260" s="257">
        <v>0</v>
      </c>
      <c r="Q260" s="257">
        <v>0</v>
      </c>
      <c r="R260" s="257">
        <v>0</v>
      </c>
      <c r="S260" s="257">
        <v>70536.88</v>
      </c>
      <c r="T260" s="256">
        <v>70536.88</v>
      </c>
      <c r="U260" s="256">
        <v>0</v>
      </c>
      <c r="V260" s="256">
        <f t="shared" si="8"/>
        <v>2141869.43</v>
      </c>
      <c r="W260" s="230"/>
    </row>
    <row r="261" spans="1:23" s="232" customFormat="1" ht="12.75" hidden="1" outlineLevel="1">
      <c r="A261" s="230" t="s">
        <v>2554</v>
      </c>
      <c r="B261" s="231"/>
      <c r="C261" s="231" t="s">
        <v>2555</v>
      </c>
      <c r="D261" s="231" t="s">
        <v>2556</v>
      </c>
      <c r="E261" s="256">
        <v>109390.42</v>
      </c>
      <c r="F261" s="256">
        <v>14181.88</v>
      </c>
      <c r="G261" s="256"/>
      <c r="H261" s="257">
        <v>0</v>
      </c>
      <c r="I261" s="257">
        <v>0</v>
      </c>
      <c r="J261" s="257">
        <v>0</v>
      </c>
      <c r="K261" s="257">
        <v>0</v>
      </c>
      <c r="L261" s="257">
        <v>0</v>
      </c>
      <c r="M261" s="257">
        <v>0</v>
      </c>
      <c r="N261" s="257">
        <v>0</v>
      </c>
      <c r="O261" s="257">
        <v>0</v>
      </c>
      <c r="P261" s="257">
        <v>0</v>
      </c>
      <c r="Q261" s="257">
        <v>0</v>
      </c>
      <c r="R261" s="257">
        <v>0</v>
      </c>
      <c r="S261" s="257">
        <v>3547.5</v>
      </c>
      <c r="T261" s="256">
        <v>3547.5</v>
      </c>
      <c r="U261" s="256">
        <v>0</v>
      </c>
      <c r="V261" s="256">
        <f t="shared" si="8"/>
        <v>127119.8</v>
      </c>
      <c r="W261" s="230"/>
    </row>
    <row r="262" spans="1:23" s="232" customFormat="1" ht="12.75" hidden="1" outlineLevel="1">
      <c r="A262" s="230" t="s">
        <v>2557</v>
      </c>
      <c r="B262" s="231"/>
      <c r="C262" s="231" t="s">
        <v>2558</v>
      </c>
      <c r="D262" s="231" t="s">
        <v>2559</v>
      </c>
      <c r="E262" s="256">
        <v>24085.6</v>
      </c>
      <c r="F262" s="256">
        <v>1202.59</v>
      </c>
      <c r="G262" s="256"/>
      <c r="H262" s="257">
        <v>112.08</v>
      </c>
      <c r="I262" s="257">
        <v>0</v>
      </c>
      <c r="J262" s="257">
        <v>0</v>
      </c>
      <c r="K262" s="257">
        <v>0</v>
      </c>
      <c r="L262" s="257">
        <v>0</v>
      </c>
      <c r="M262" s="257">
        <v>0</v>
      </c>
      <c r="N262" s="257">
        <v>0</v>
      </c>
      <c r="O262" s="257">
        <v>70.35</v>
      </c>
      <c r="P262" s="257">
        <v>97.65</v>
      </c>
      <c r="Q262" s="257">
        <v>0</v>
      </c>
      <c r="R262" s="257">
        <v>0</v>
      </c>
      <c r="S262" s="257">
        <v>1024.55</v>
      </c>
      <c r="T262" s="256">
        <v>1304.63</v>
      </c>
      <c r="U262" s="256">
        <v>0</v>
      </c>
      <c r="V262" s="256">
        <f t="shared" si="8"/>
        <v>26592.82</v>
      </c>
      <c r="W262" s="230"/>
    </row>
    <row r="263" spans="1:23" s="232" customFormat="1" ht="12.75" hidden="1" outlineLevel="1">
      <c r="A263" s="230" t="s">
        <v>2560</v>
      </c>
      <c r="B263" s="231"/>
      <c r="C263" s="231" t="s">
        <v>2561</v>
      </c>
      <c r="D263" s="231" t="s">
        <v>2562</v>
      </c>
      <c r="E263" s="256">
        <v>1452</v>
      </c>
      <c r="F263" s="256">
        <v>0</v>
      </c>
      <c r="G263" s="256"/>
      <c r="H263" s="257">
        <v>0</v>
      </c>
      <c r="I263" s="257">
        <v>0</v>
      </c>
      <c r="J263" s="257">
        <v>0</v>
      </c>
      <c r="K263" s="257">
        <v>0</v>
      </c>
      <c r="L263" s="257">
        <v>0</v>
      </c>
      <c r="M263" s="257">
        <v>0</v>
      </c>
      <c r="N263" s="257">
        <v>0</v>
      </c>
      <c r="O263" s="257">
        <v>0</v>
      </c>
      <c r="P263" s="257">
        <v>0</v>
      </c>
      <c r="Q263" s="257">
        <v>0</v>
      </c>
      <c r="R263" s="257">
        <v>0</v>
      </c>
      <c r="S263" s="257">
        <v>0</v>
      </c>
      <c r="T263" s="256">
        <v>0</v>
      </c>
      <c r="U263" s="256">
        <v>0</v>
      </c>
      <c r="V263" s="256">
        <f t="shared" si="8"/>
        <v>1452</v>
      </c>
      <c r="W263" s="230"/>
    </row>
    <row r="264" spans="1:23" s="232" customFormat="1" ht="12.75" hidden="1" outlineLevel="1">
      <c r="A264" s="230" t="s">
        <v>2563</v>
      </c>
      <c r="B264" s="231"/>
      <c r="C264" s="231" t="s">
        <v>2564</v>
      </c>
      <c r="D264" s="231" t="s">
        <v>2565</v>
      </c>
      <c r="E264" s="256">
        <v>30930.11</v>
      </c>
      <c r="F264" s="256">
        <v>4260</v>
      </c>
      <c r="G264" s="256"/>
      <c r="H264" s="257">
        <v>0</v>
      </c>
      <c r="I264" s="257">
        <v>0</v>
      </c>
      <c r="J264" s="257">
        <v>0</v>
      </c>
      <c r="K264" s="257">
        <v>0</v>
      </c>
      <c r="L264" s="257">
        <v>0</v>
      </c>
      <c r="M264" s="257">
        <v>0</v>
      </c>
      <c r="N264" s="257">
        <v>0</v>
      </c>
      <c r="O264" s="257">
        <v>0</v>
      </c>
      <c r="P264" s="257">
        <v>0</v>
      </c>
      <c r="Q264" s="257">
        <v>0</v>
      </c>
      <c r="R264" s="257">
        <v>0</v>
      </c>
      <c r="S264" s="257">
        <v>0</v>
      </c>
      <c r="T264" s="256">
        <v>0</v>
      </c>
      <c r="U264" s="256">
        <v>0</v>
      </c>
      <c r="V264" s="256">
        <f t="shared" si="8"/>
        <v>35190.11</v>
      </c>
      <c r="W264" s="230"/>
    </row>
    <row r="265" spans="1:23" s="232" customFormat="1" ht="12.75" hidden="1" outlineLevel="1">
      <c r="A265" s="230" t="s">
        <v>2566</v>
      </c>
      <c r="B265" s="231"/>
      <c r="C265" s="231" t="s">
        <v>2567</v>
      </c>
      <c r="D265" s="231" t="s">
        <v>2568</v>
      </c>
      <c r="E265" s="256">
        <v>367975.31</v>
      </c>
      <c r="F265" s="256">
        <v>0</v>
      </c>
      <c r="G265" s="256"/>
      <c r="H265" s="257">
        <v>0</v>
      </c>
      <c r="I265" s="257">
        <v>0</v>
      </c>
      <c r="J265" s="257">
        <v>0</v>
      </c>
      <c r="K265" s="257">
        <v>0</v>
      </c>
      <c r="L265" s="257">
        <v>0</v>
      </c>
      <c r="M265" s="257">
        <v>0</v>
      </c>
      <c r="N265" s="257">
        <v>0</v>
      </c>
      <c r="O265" s="257">
        <v>0</v>
      </c>
      <c r="P265" s="257">
        <v>0</v>
      </c>
      <c r="Q265" s="257">
        <v>0</v>
      </c>
      <c r="R265" s="257">
        <v>0</v>
      </c>
      <c r="S265" s="257">
        <v>0</v>
      </c>
      <c r="T265" s="256">
        <v>0</v>
      </c>
      <c r="U265" s="256">
        <v>0</v>
      </c>
      <c r="V265" s="256">
        <f t="shared" si="8"/>
        <v>367975.31</v>
      </c>
      <c r="W265" s="230"/>
    </row>
    <row r="266" spans="1:23" s="232" customFormat="1" ht="12.75" hidden="1" outlineLevel="1">
      <c r="A266" s="230" t="s">
        <v>2569</v>
      </c>
      <c r="B266" s="231"/>
      <c r="C266" s="231" t="s">
        <v>2570</v>
      </c>
      <c r="D266" s="231" t="s">
        <v>2571</v>
      </c>
      <c r="E266" s="256">
        <v>100</v>
      </c>
      <c r="F266" s="256">
        <v>0</v>
      </c>
      <c r="G266" s="256"/>
      <c r="H266" s="257">
        <v>0</v>
      </c>
      <c r="I266" s="257">
        <v>0</v>
      </c>
      <c r="J266" s="257">
        <v>0</v>
      </c>
      <c r="K266" s="257">
        <v>0</v>
      </c>
      <c r="L266" s="257">
        <v>0</v>
      </c>
      <c r="M266" s="257">
        <v>0</v>
      </c>
      <c r="N266" s="257">
        <v>0</v>
      </c>
      <c r="O266" s="257">
        <v>0</v>
      </c>
      <c r="P266" s="257">
        <v>0</v>
      </c>
      <c r="Q266" s="257">
        <v>0</v>
      </c>
      <c r="R266" s="257">
        <v>0</v>
      </c>
      <c r="S266" s="257">
        <v>0</v>
      </c>
      <c r="T266" s="256">
        <v>0</v>
      </c>
      <c r="U266" s="256">
        <v>0</v>
      </c>
      <c r="V266" s="256">
        <f t="shared" si="8"/>
        <v>100</v>
      </c>
      <c r="W266" s="230"/>
    </row>
    <row r="267" spans="1:23" s="232" customFormat="1" ht="12.75" hidden="1" outlineLevel="1">
      <c r="A267" s="230" t="s">
        <v>2572</v>
      </c>
      <c r="B267" s="231"/>
      <c r="C267" s="231" t="s">
        <v>2573</v>
      </c>
      <c r="D267" s="231" t="s">
        <v>2574</v>
      </c>
      <c r="E267" s="256">
        <v>248436.87</v>
      </c>
      <c r="F267" s="256">
        <v>0</v>
      </c>
      <c r="G267" s="256"/>
      <c r="H267" s="257">
        <v>0</v>
      </c>
      <c r="I267" s="257">
        <v>0</v>
      </c>
      <c r="J267" s="257">
        <v>0</v>
      </c>
      <c r="K267" s="257">
        <v>0</v>
      </c>
      <c r="L267" s="257">
        <v>0</v>
      </c>
      <c r="M267" s="257">
        <v>0</v>
      </c>
      <c r="N267" s="257">
        <v>0</v>
      </c>
      <c r="O267" s="257">
        <v>0</v>
      </c>
      <c r="P267" s="257">
        <v>0</v>
      </c>
      <c r="Q267" s="257">
        <v>0</v>
      </c>
      <c r="R267" s="257">
        <v>0</v>
      </c>
      <c r="S267" s="257">
        <v>0</v>
      </c>
      <c r="T267" s="256">
        <v>0</v>
      </c>
      <c r="U267" s="256">
        <v>0</v>
      </c>
      <c r="V267" s="256">
        <f t="shared" si="8"/>
        <v>248436.87</v>
      </c>
      <c r="W267" s="230"/>
    </row>
    <row r="268" spans="1:23" s="232" customFormat="1" ht="12.75" hidden="1" outlineLevel="1">
      <c r="A268" s="230" t="s">
        <v>2575</v>
      </c>
      <c r="B268" s="231"/>
      <c r="C268" s="231" t="s">
        <v>2576</v>
      </c>
      <c r="D268" s="231" t="s">
        <v>2577</v>
      </c>
      <c r="E268" s="256">
        <v>-4054.88</v>
      </c>
      <c r="F268" s="256">
        <v>0</v>
      </c>
      <c r="G268" s="256"/>
      <c r="H268" s="257">
        <v>0</v>
      </c>
      <c r="I268" s="257">
        <v>0</v>
      </c>
      <c r="J268" s="257">
        <v>0</v>
      </c>
      <c r="K268" s="257">
        <v>0</v>
      </c>
      <c r="L268" s="257">
        <v>0</v>
      </c>
      <c r="M268" s="257">
        <v>0</v>
      </c>
      <c r="N268" s="257">
        <v>0</v>
      </c>
      <c r="O268" s="257">
        <v>0</v>
      </c>
      <c r="P268" s="257">
        <v>0</v>
      </c>
      <c r="Q268" s="257">
        <v>0</v>
      </c>
      <c r="R268" s="257">
        <v>0</v>
      </c>
      <c r="S268" s="257">
        <v>0</v>
      </c>
      <c r="T268" s="256">
        <v>0</v>
      </c>
      <c r="U268" s="256">
        <v>0</v>
      </c>
      <c r="V268" s="256">
        <f t="shared" si="8"/>
        <v>-4054.88</v>
      </c>
      <c r="W268" s="230"/>
    </row>
    <row r="269" spans="1:23" s="232" customFormat="1" ht="12.75" hidden="1" outlineLevel="1">
      <c r="A269" s="230" t="s">
        <v>2578</v>
      </c>
      <c r="B269" s="231"/>
      <c r="C269" s="231" t="s">
        <v>2579</v>
      </c>
      <c r="D269" s="231" t="s">
        <v>2580</v>
      </c>
      <c r="E269" s="256">
        <v>38.35</v>
      </c>
      <c r="F269" s="256">
        <v>0</v>
      </c>
      <c r="G269" s="256"/>
      <c r="H269" s="257">
        <v>0</v>
      </c>
      <c r="I269" s="257">
        <v>0</v>
      </c>
      <c r="J269" s="257">
        <v>0</v>
      </c>
      <c r="K269" s="257">
        <v>0</v>
      </c>
      <c r="L269" s="257">
        <v>0</v>
      </c>
      <c r="M269" s="257">
        <v>0</v>
      </c>
      <c r="N269" s="257">
        <v>0</v>
      </c>
      <c r="O269" s="257">
        <v>0</v>
      </c>
      <c r="P269" s="257">
        <v>0</v>
      </c>
      <c r="Q269" s="257">
        <v>0</v>
      </c>
      <c r="R269" s="257">
        <v>0</v>
      </c>
      <c r="S269" s="257">
        <v>0</v>
      </c>
      <c r="T269" s="256">
        <v>0</v>
      </c>
      <c r="U269" s="256">
        <v>0</v>
      </c>
      <c r="V269" s="256">
        <f t="shared" si="8"/>
        <v>38.35</v>
      </c>
      <c r="W269" s="230"/>
    </row>
    <row r="270" spans="1:23" s="232" customFormat="1" ht="12.75" hidden="1" outlineLevel="1">
      <c r="A270" s="230" t="s">
        <v>2581</v>
      </c>
      <c r="B270" s="231"/>
      <c r="C270" s="231" t="s">
        <v>2582</v>
      </c>
      <c r="D270" s="231" t="s">
        <v>2583</v>
      </c>
      <c r="E270" s="256">
        <v>27129.61</v>
      </c>
      <c r="F270" s="256">
        <v>0</v>
      </c>
      <c r="G270" s="256"/>
      <c r="H270" s="257">
        <v>0</v>
      </c>
      <c r="I270" s="257">
        <v>0</v>
      </c>
      <c r="J270" s="257">
        <v>0</v>
      </c>
      <c r="K270" s="257">
        <v>0</v>
      </c>
      <c r="L270" s="257">
        <v>0</v>
      </c>
      <c r="M270" s="257">
        <v>0</v>
      </c>
      <c r="N270" s="257">
        <v>0</v>
      </c>
      <c r="O270" s="257">
        <v>0</v>
      </c>
      <c r="P270" s="257">
        <v>0</v>
      </c>
      <c r="Q270" s="257">
        <v>0</v>
      </c>
      <c r="R270" s="257">
        <v>0</v>
      </c>
      <c r="S270" s="257">
        <v>0</v>
      </c>
      <c r="T270" s="256">
        <v>0</v>
      </c>
      <c r="U270" s="256">
        <v>0</v>
      </c>
      <c r="V270" s="256">
        <f t="shared" si="8"/>
        <v>27129.61</v>
      </c>
      <c r="W270" s="230"/>
    </row>
    <row r="271" spans="1:23" s="232" customFormat="1" ht="12.75" hidden="1" outlineLevel="1">
      <c r="A271" s="230" t="s">
        <v>2584</v>
      </c>
      <c r="B271" s="231"/>
      <c r="C271" s="231" t="s">
        <v>2585</v>
      </c>
      <c r="D271" s="231" t="s">
        <v>2586</v>
      </c>
      <c r="E271" s="256">
        <v>143634.48</v>
      </c>
      <c r="F271" s="256">
        <v>0</v>
      </c>
      <c r="G271" s="256"/>
      <c r="H271" s="257">
        <v>0</v>
      </c>
      <c r="I271" s="257">
        <v>0</v>
      </c>
      <c r="J271" s="257">
        <v>0</v>
      </c>
      <c r="K271" s="257">
        <v>0</v>
      </c>
      <c r="L271" s="257">
        <v>0</v>
      </c>
      <c r="M271" s="257">
        <v>0</v>
      </c>
      <c r="N271" s="257">
        <v>0</v>
      </c>
      <c r="O271" s="257">
        <v>0</v>
      </c>
      <c r="P271" s="257">
        <v>0</v>
      </c>
      <c r="Q271" s="257">
        <v>0</v>
      </c>
      <c r="R271" s="257">
        <v>0</v>
      </c>
      <c r="S271" s="257">
        <v>0</v>
      </c>
      <c r="T271" s="256">
        <v>0</v>
      </c>
      <c r="U271" s="256">
        <v>0</v>
      </c>
      <c r="V271" s="256">
        <f t="shared" si="8"/>
        <v>143634.48</v>
      </c>
      <c r="W271" s="230"/>
    </row>
    <row r="272" spans="1:23" s="232" customFormat="1" ht="12.75" hidden="1" outlineLevel="1">
      <c r="A272" s="230" t="s">
        <v>2587</v>
      </c>
      <c r="B272" s="231"/>
      <c r="C272" s="231" t="s">
        <v>2588</v>
      </c>
      <c r="D272" s="231" t="s">
        <v>2589</v>
      </c>
      <c r="E272" s="256">
        <v>200381.95</v>
      </c>
      <c r="F272" s="256">
        <v>8298.87</v>
      </c>
      <c r="G272" s="256"/>
      <c r="H272" s="257">
        <v>373.79</v>
      </c>
      <c r="I272" s="257">
        <v>0</v>
      </c>
      <c r="J272" s="257">
        <v>5493.7</v>
      </c>
      <c r="K272" s="257">
        <v>0</v>
      </c>
      <c r="L272" s="257">
        <v>419.94</v>
      </c>
      <c r="M272" s="257">
        <v>0</v>
      </c>
      <c r="N272" s="257">
        <v>0</v>
      </c>
      <c r="O272" s="257">
        <v>477.97</v>
      </c>
      <c r="P272" s="257">
        <v>506.1</v>
      </c>
      <c r="Q272" s="257">
        <v>0</v>
      </c>
      <c r="R272" s="257">
        <v>0</v>
      </c>
      <c r="S272" s="257">
        <v>9852.01</v>
      </c>
      <c r="T272" s="256">
        <v>17123.51</v>
      </c>
      <c r="U272" s="256">
        <v>0</v>
      </c>
      <c r="V272" s="256">
        <f t="shared" si="8"/>
        <v>225804.33000000002</v>
      </c>
      <c r="W272" s="230"/>
    </row>
    <row r="273" spans="1:23" s="232" customFormat="1" ht="12.75" hidden="1" outlineLevel="1">
      <c r="A273" s="230" t="s">
        <v>2590</v>
      </c>
      <c r="B273" s="231"/>
      <c r="C273" s="231" t="s">
        <v>2591</v>
      </c>
      <c r="D273" s="231" t="s">
        <v>2592</v>
      </c>
      <c r="E273" s="256">
        <v>78832.81</v>
      </c>
      <c r="F273" s="256">
        <v>0</v>
      </c>
      <c r="G273" s="256"/>
      <c r="H273" s="257">
        <v>12.72</v>
      </c>
      <c r="I273" s="257">
        <v>5202.17</v>
      </c>
      <c r="J273" s="257">
        <v>3563.91</v>
      </c>
      <c r="K273" s="257">
        <v>0</v>
      </c>
      <c r="L273" s="257">
        <v>0</v>
      </c>
      <c r="M273" s="257">
        <v>0</v>
      </c>
      <c r="N273" s="257">
        <v>0</v>
      </c>
      <c r="O273" s="257">
        <v>20.16</v>
      </c>
      <c r="P273" s="257">
        <v>137.09</v>
      </c>
      <c r="Q273" s="257">
        <v>0</v>
      </c>
      <c r="R273" s="257">
        <v>0</v>
      </c>
      <c r="S273" s="257">
        <v>31059.1</v>
      </c>
      <c r="T273" s="256">
        <v>39995.15</v>
      </c>
      <c r="U273" s="256">
        <v>0</v>
      </c>
      <c r="V273" s="256">
        <f t="shared" si="8"/>
        <v>118827.95999999999</v>
      </c>
      <c r="W273" s="230"/>
    </row>
    <row r="274" spans="1:23" s="232" customFormat="1" ht="12.75" hidden="1" outlineLevel="1">
      <c r="A274" s="230" t="s">
        <v>2593</v>
      </c>
      <c r="B274" s="231"/>
      <c r="C274" s="231" t="s">
        <v>2594</v>
      </c>
      <c r="D274" s="231" t="s">
        <v>2595</v>
      </c>
      <c r="E274" s="256">
        <v>415</v>
      </c>
      <c r="F274" s="256">
        <v>0</v>
      </c>
      <c r="G274" s="256"/>
      <c r="H274" s="257">
        <v>0</v>
      </c>
      <c r="I274" s="257">
        <v>0</v>
      </c>
      <c r="J274" s="257">
        <v>0</v>
      </c>
      <c r="K274" s="257">
        <v>0</v>
      </c>
      <c r="L274" s="257">
        <v>0</v>
      </c>
      <c r="M274" s="257">
        <v>0</v>
      </c>
      <c r="N274" s="257">
        <v>0</v>
      </c>
      <c r="O274" s="257">
        <v>0</v>
      </c>
      <c r="P274" s="257">
        <v>0</v>
      </c>
      <c r="Q274" s="257">
        <v>0</v>
      </c>
      <c r="R274" s="257">
        <v>0</v>
      </c>
      <c r="S274" s="257">
        <v>0</v>
      </c>
      <c r="T274" s="256">
        <v>0</v>
      </c>
      <c r="U274" s="256">
        <v>0</v>
      </c>
      <c r="V274" s="256">
        <f t="shared" si="8"/>
        <v>415</v>
      </c>
      <c r="W274" s="230"/>
    </row>
    <row r="275" spans="1:23" s="232" customFormat="1" ht="12.75" hidden="1" outlineLevel="1">
      <c r="A275" s="230" t="s">
        <v>2596</v>
      </c>
      <c r="B275" s="231"/>
      <c r="C275" s="231" t="s">
        <v>2597</v>
      </c>
      <c r="D275" s="231" t="s">
        <v>2598</v>
      </c>
      <c r="E275" s="256">
        <v>1950</v>
      </c>
      <c r="F275" s="256">
        <v>108.63</v>
      </c>
      <c r="G275" s="256"/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  <c r="M275" s="257">
        <v>0</v>
      </c>
      <c r="N275" s="257">
        <v>0</v>
      </c>
      <c r="O275" s="257">
        <v>0</v>
      </c>
      <c r="P275" s="257">
        <v>5951.02</v>
      </c>
      <c r="Q275" s="257">
        <v>0</v>
      </c>
      <c r="R275" s="257">
        <v>0</v>
      </c>
      <c r="S275" s="257">
        <v>0</v>
      </c>
      <c r="T275" s="256">
        <v>5951.02</v>
      </c>
      <c r="U275" s="256">
        <v>0</v>
      </c>
      <c r="V275" s="256">
        <f t="shared" si="8"/>
        <v>8009.650000000001</v>
      </c>
      <c r="W275" s="230"/>
    </row>
    <row r="276" spans="1:23" s="232" customFormat="1" ht="12.75" hidden="1" outlineLevel="1">
      <c r="A276" s="230" t="s">
        <v>2599</v>
      </c>
      <c r="B276" s="231"/>
      <c r="C276" s="231" t="s">
        <v>2600</v>
      </c>
      <c r="D276" s="231" t="s">
        <v>2601</v>
      </c>
      <c r="E276" s="256">
        <v>3018.7</v>
      </c>
      <c r="F276" s="256">
        <v>0</v>
      </c>
      <c r="G276" s="256"/>
      <c r="H276" s="257">
        <v>0</v>
      </c>
      <c r="I276" s="257">
        <v>0</v>
      </c>
      <c r="J276" s="257">
        <v>0</v>
      </c>
      <c r="K276" s="257">
        <v>0</v>
      </c>
      <c r="L276" s="257">
        <v>0</v>
      </c>
      <c r="M276" s="257">
        <v>0</v>
      </c>
      <c r="N276" s="257">
        <v>0</v>
      </c>
      <c r="O276" s="257">
        <v>0</v>
      </c>
      <c r="P276" s="257">
        <v>375</v>
      </c>
      <c r="Q276" s="257">
        <v>0</v>
      </c>
      <c r="R276" s="257">
        <v>0</v>
      </c>
      <c r="S276" s="257">
        <v>0</v>
      </c>
      <c r="T276" s="256">
        <v>375</v>
      </c>
      <c r="U276" s="256">
        <v>0</v>
      </c>
      <c r="V276" s="256">
        <f t="shared" si="8"/>
        <v>3393.7</v>
      </c>
      <c r="W276" s="230"/>
    </row>
    <row r="277" spans="1:23" s="232" customFormat="1" ht="12.75" hidden="1" outlineLevel="1">
      <c r="A277" s="230" t="s">
        <v>2602</v>
      </c>
      <c r="B277" s="231"/>
      <c r="C277" s="231" t="s">
        <v>2603</v>
      </c>
      <c r="D277" s="231" t="s">
        <v>2604</v>
      </c>
      <c r="E277" s="256">
        <v>13675</v>
      </c>
      <c r="F277" s="256">
        <v>4000</v>
      </c>
      <c r="G277" s="256"/>
      <c r="H277" s="257">
        <v>0</v>
      </c>
      <c r="I277" s="257">
        <v>0</v>
      </c>
      <c r="J277" s="257">
        <v>0</v>
      </c>
      <c r="K277" s="257">
        <v>0</v>
      </c>
      <c r="L277" s="257">
        <v>0</v>
      </c>
      <c r="M277" s="257">
        <v>0</v>
      </c>
      <c r="N277" s="257">
        <v>0</v>
      </c>
      <c r="O277" s="257">
        <v>0</v>
      </c>
      <c r="P277" s="257">
        <v>0</v>
      </c>
      <c r="Q277" s="257">
        <v>0</v>
      </c>
      <c r="R277" s="257">
        <v>0</v>
      </c>
      <c r="S277" s="257">
        <v>0</v>
      </c>
      <c r="T277" s="256">
        <v>0</v>
      </c>
      <c r="U277" s="256">
        <v>0</v>
      </c>
      <c r="V277" s="256">
        <f t="shared" si="8"/>
        <v>17675</v>
      </c>
      <c r="W277" s="230"/>
    </row>
    <row r="278" spans="1:23" s="232" customFormat="1" ht="12.75" hidden="1" outlineLevel="1">
      <c r="A278" s="230" t="s">
        <v>2605</v>
      </c>
      <c r="B278" s="231"/>
      <c r="C278" s="231" t="s">
        <v>2606</v>
      </c>
      <c r="D278" s="231" t="s">
        <v>2607</v>
      </c>
      <c r="E278" s="256">
        <v>311750.12</v>
      </c>
      <c r="F278" s="256">
        <v>297678.93</v>
      </c>
      <c r="G278" s="256"/>
      <c r="H278" s="257">
        <v>0</v>
      </c>
      <c r="I278" s="257">
        <v>0</v>
      </c>
      <c r="J278" s="257">
        <v>0</v>
      </c>
      <c r="K278" s="257">
        <v>0</v>
      </c>
      <c r="L278" s="257">
        <v>0</v>
      </c>
      <c r="M278" s="257">
        <v>0</v>
      </c>
      <c r="N278" s="257">
        <v>0</v>
      </c>
      <c r="O278" s="257">
        <v>0</v>
      </c>
      <c r="P278" s="257">
        <v>8669.97</v>
      </c>
      <c r="Q278" s="257">
        <v>0</v>
      </c>
      <c r="R278" s="257">
        <v>0</v>
      </c>
      <c r="S278" s="257">
        <v>0</v>
      </c>
      <c r="T278" s="256">
        <v>8669.97</v>
      </c>
      <c r="U278" s="256">
        <v>0</v>
      </c>
      <c r="V278" s="256">
        <f t="shared" si="8"/>
        <v>618099.02</v>
      </c>
      <c r="W278" s="230"/>
    </row>
    <row r="279" spans="1:23" s="232" customFormat="1" ht="12.75" hidden="1" outlineLevel="1">
      <c r="A279" s="230" t="s">
        <v>2611</v>
      </c>
      <c r="B279" s="231"/>
      <c r="C279" s="231" t="s">
        <v>2612</v>
      </c>
      <c r="D279" s="231" t="s">
        <v>2613</v>
      </c>
      <c r="E279" s="256">
        <v>10381.5</v>
      </c>
      <c r="F279" s="256">
        <v>0</v>
      </c>
      <c r="G279" s="256"/>
      <c r="H279" s="257">
        <v>0</v>
      </c>
      <c r="I279" s="257">
        <v>0</v>
      </c>
      <c r="J279" s="257">
        <v>0</v>
      </c>
      <c r="K279" s="257">
        <v>0</v>
      </c>
      <c r="L279" s="257">
        <v>0</v>
      </c>
      <c r="M279" s="257">
        <v>0</v>
      </c>
      <c r="N279" s="257">
        <v>0</v>
      </c>
      <c r="O279" s="257">
        <v>0</v>
      </c>
      <c r="P279" s="257">
        <v>0</v>
      </c>
      <c r="Q279" s="257">
        <v>0</v>
      </c>
      <c r="R279" s="257">
        <v>0</v>
      </c>
      <c r="S279" s="257">
        <v>0</v>
      </c>
      <c r="T279" s="256">
        <v>0</v>
      </c>
      <c r="U279" s="256">
        <v>0</v>
      </c>
      <c r="V279" s="256">
        <f t="shared" si="8"/>
        <v>10381.5</v>
      </c>
      <c r="W279" s="230"/>
    </row>
    <row r="280" spans="1:23" s="232" customFormat="1" ht="12.75" hidden="1" outlineLevel="1">
      <c r="A280" s="230" t="s">
        <v>2614</v>
      </c>
      <c r="B280" s="231"/>
      <c r="C280" s="231" t="s">
        <v>2615</v>
      </c>
      <c r="D280" s="231" t="s">
        <v>2616</v>
      </c>
      <c r="E280" s="256">
        <v>45852.93</v>
      </c>
      <c r="F280" s="256">
        <v>0</v>
      </c>
      <c r="G280" s="256"/>
      <c r="H280" s="257">
        <v>0</v>
      </c>
      <c r="I280" s="257">
        <v>0</v>
      </c>
      <c r="J280" s="257">
        <v>0</v>
      </c>
      <c r="K280" s="257">
        <v>0</v>
      </c>
      <c r="L280" s="257">
        <v>0</v>
      </c>
      <c r="M280" s="257">
        <v>0</v>
      </c>
      <c r="N280" s="257">
        <v>0</v>
      </c>
      <c r="O280" s="257">
        <v>0</v>
      </c>
      <c r="P280" s="257">
        <v>0</v>
      </c>
      <c r="Q280" s="257">
        <v>0</v>
      </c>
      <c r="R280" s="257">
        <v>0</v>
      </c>
      <c r="S280" s="257">
        <v>0</v>
      </c>
      <c r="T280" s="256">
        <v>0</v>
      </c>
      <c r="U280" s="256">
        <v>0</v>
      </c>
      <c r="V280" s="256">
        <f t="shared" si="8"/>
        <v>45852.93</v>
      </c>
      <c r="W280" s="230"/>
    </row>
    <row r="281" spans="1:23" s="232" customFormat="1" ht="12.75" hidden="1" outlineLevel="1">
      <c r="A281" s="230" t="s">
        <v>2617</v>
      </c>
      <c r="B281" s="231"/>
      <c r="C281" s="231" t="s">
        <v>2618</v>
      </c>
      <c r="D281" s="231" t="s">
        <v>2619</v>
      </c>
      <c r="E281" s="256">
        <v>10500</v>
      </c>
      <c r="F281" s="256">
        <v>0</v>
      </c>
      <c r="G281" s="256"/>
      <c r="H281" s="257">
        <v>0</v>
      </c>
      <c r="I281" s="257">
        <v>0</v>
      </c>
      <c r="J281" s="257">
        <v>0</v>
      </c>
      <c r="K281" s="257">
        <v>0</v>
      </c>
      <c r="L281" s="257">
        <v>0</v>
      </c>
      <c r="M281" s="257">
        <v>0</v>
      </c>
      <c r="N281" s="257">
        <v>0</v>
      </c>
      <c r="O281" s="257">
        <v>0</v>
      </c>
      <c r="P281" s="257">
        <v>0</v>
      </c>
      <c r="Q281" s="257">
        <v>0</v>
      </c>
      <c r="R281" s="257">
        <v>0</v>
      </c>
      <c r="S281" s="257">
        <v>0</v>
      </c>
      <c r="T281" s="256">
        <v>0</v>
      </c>
      <c r="U281" s="256">
        <v>0</v>
      </c>
      <c r="V281" s="256">
        <f t="shared" si="8"/>
        <v>10500</v>
      </c>
      <c r="W281" s="230"/>
    </row>
    <row r="282" spans="1:23" s="232" customFormat="1" ht="12.75" hidden="1" outlineLevel="1">
      <c r="A282" s="230" t="s">
        <v>2620</v>
      </c>
      <c r="B282" s="231"/>
      <c r="C282" s="231" t="s">
        <v>2621</v>
      </c>
      <c r="D282" s="231" t="s">
        <v>2622</v>
      </c>
      <c r="E282" s="256">
        <v>317664.77</v>
      </c>
      <c r="F282" s="256">
        <v>0</v>
      </c>
      <c r="G282" s="256"/>
      <c r="H282" s="257">
        <v>0</v>
      </c>
      <c r="I282" s="257">
        <v>0</v>
      </c>
      <c r="J282" s="257">
        <v>0</v>
      </c>
      <c r="K282" s="257">
        <v>0</v>
      </c>
      <c r="L282" s="257">
        <v>0</v>
      </c>
      <c r="M282" s="257">
        <v>0</v>
      </c>
      <c r="N282" s="257">
        <v>0</v>
      </c>
      <c r="O282" s="257">
        <v>0</v>
      </c>
      <c r="P282" s="257">
        <v>0</v>
      </c>
      <c r="Q282" s="257">
        <v>0</v>
      </c>
      <c r="R282" s="257">
        <v>0</v>
      </c>
      <c r="S282" s="257">
        <v>0</v>
      </c>
      <c r="T282" s="256">
        <v>0</v>
      </c>
      <c r="U282" s="256">
        <v>0</v>
      </c>
      <c r="V282" s="256">
        <f t="shared" si="8"/>
        <v>317664.77</v>
      </c>
      <c r="W282" s="230"/>
    </row>
    <row r="283" spans="1:23" s="232" customFormat="1" ht="12.75" hidden="1" outlineLevel="1">
      <c r="A283" s="230" t="s">
        <v>2623</v>
      </c>
      <c r="B283" s="231"/>
      <c r="C283" s="231" t="s">
        <v>2624</v>
      </c>
      <c r="D283" s="231" t="s">
        <v>2625</v>
      </c>
      <c r="E283" s="256">
        <v>467909.53</v>
      </c>
      <c r="F283" s="256">
        <v>225</v>
      </c>
      <c r="G283" s="256"/>
      <c r="H283" s="257">
        <v>0</v>
      </c>
      <c r="I283" s="257">
        <v>4565</v>
      </c>
      <c r="J283" s="257">
        <v>0</v>
      </c>
      <c r="K283" s="257">
        <v>0</v>
      </c>
      <c r="L283" s="257">
        <v>0</v>
      </c>
      <c r="M283" s="257">
        <v>0</v>
      </c>
      <c r="N283" s="257">
        <v>0</v>
      </c>
      <c r="O283" s="257">
        <v>0</v>
      </c>
      <c r="P283" s="257">
        <v>0</v>
      </c>
      <c r="Q283" s="257">
        <v>0</v>
      </c>
      <c r="R283" s="257">
        <v>0</v>
      </c>
      <c r="S283" s="257">
        <v>0</v>
      </c>
      <c r="T283" s="256">
        <v>4565</v>
      </c>
      <c r="U283" s="256">
        <v>0</v>
      </c>
      <c r="V283" s="256">
        <f t="shared" si="8"/>
        <v>472699.53</v>
      </c>
      <c r="W283" s="230"/>
    </row>
    <row r="284" spans="1:23" s="232" customFormat="1" ht="12.75" hidden="1" outlineLevel="1">
      <c r="A284" s="230" t="s">
        <v>2626</v>
      </c>
      <c r="B284" s="231"/>
      <c r="C284" s="231" t="s">
        <v>2627</v>
      </c>
      <c r="D284" s="231" t="s">
        <v>2628</v>
      </c>
      <c r="E284" s="256">
        <v>266643.26</v>
      </c>
      <c r="F284" s="256">
        <v>0</v>
      </c>
      <c r="G284" s="256"/>
      <c r="H284" s="257">
        <v>0</v>
      </c>
      <c r="I284" s="257">
        <v>0</v>
      </c>
      <c r="J284" s="257">
        <v>0</v>
      </c>
      <c r="K284" s="257">
        <v>0</v>
      </c>
      <c r="L284" s="257">
        <v>0</v>
      </c>
      <c r="M284" s="257">
        <v>0</v>
      </c>
      <c r="N284" s="257">
        <v>0</v>
      </c>
      <c r="O284" s="257">
        <v>0</v>
      </c>
      <c r="P284" s="257">
        <v>0</v>
      </c>
      <c r="Q284" s="257">
        <v>0</v>
      </c>
      <c r="R284" s="257">
        <v>0</v>
      </c>
      <c r="S284" s="257">
        <v>0</v>
      </c>
      <c r="T284" s="256">
        <v>0</v>
      </c>
      <c r="U284" s="256">
        <v>0</v>
      </c>
      <c r="V284" s="256">
        <f t="shared" si="8"/>
        <v>266643.26</v>
      </c>
      <c r="W284" s="230"/>
    </row>
    <row r="285" spans="1:23" s="232" customFormat="1" ht="12.75" hidden="1" outlineLevel="1">
      <c r="A285" s="230" t="s">
        <v>2629</v>
      </c>
      <c r="B285" s="231"/>
      <c r="C285" s="231" t="s">
        <v>2630</v>
      </c>
      <c r="D285" s="231" t="s">
        <v>2631</v>
      </c>
      <c r="E285" s="256">
        <v>44327.14</v>
      </c>
      <c r="F285" s="256">
        <v>0</v>
      </c>
      <c r="G285" s="256"/>
      <c r="H285" s="257">
        <v>0</v>
      </c>
      <c r="I285" s="257">
        <v>0</v>
      </c>
      <c r="J285" s="257">
        <v>0</v>
      </c>
      <c r="K285" s="257">
        <v>0</v>
      </c>
      <c r="L285" s="257">
        <v>0</v>
      </c>
      <c r="M285" s="257">
        <v>0</v>
      </c>
      <c r="N285" s="257">
        <v>0</v>
      </c>
      <c r="O285" s="257">
        <v>0</v>
      </c>
      <c r="P285" s="257">
        <v>0</v>
      </c>
      <c r="Q285" s="257">
        <v>0</v>
      </c>
      <c r="R285" s="257">
        <v>0</v>
      </c>
      <c r="S285" s="257">
        <v>0</v>
      </c>
      <c r="T285" s="256">
        <v>0</v>
      </c>
      <c r="U285" s="256">
        <v>0</v>
      </c>
      <c r="V285" s="256">
        <f t="shared" si="8"/>
        <v>44327.14</v>
      </c>
      <c r="W285" s="230"/>
    </row>
    <row r="286" spans="1:23" s="232" customFormat="1" ht="12.75" hidden="1" outlineLevel="1">
      <c r="A286" s="230" t="s">
        <v>2632</v>
      </c>
      <c r="B286" s="231"/>
      <c r="C286" s="231" t="s">
        <v>2633</v>
      </c>
      <c r="D286" s="231" t="s">
        <v>2634</v>
      </c>
      <c r="E286" s="256">
        <v>1873701.08</v>
      </c>
      <c r="F286" s="256">
        <v>28380</v>
      </c>
      <c r="G286" s="256"/>
      <c r="H286" s="257">
        <v>0</v>
      </c>
      <c r="I286" s="257">
        <v>0</v>
      </c>
      <c r="J286" s="257">
        <v>0</v>
      </c>
      <c r="K286" s="257">
        <v>0</v>
      </c>
      <c r="L286" s="257">
        <v>0</v>
      </c>
      <c r="M286" s="257">
        <v>0</v>
      </c>
      <c r="N286" s="257">
        <v>0</v>
      </c>
      <c r="O286" s="257">
        <v>0</v>
      </c>
      <c r="P286" s="257">
        <v>0</v>
      </c>
      <c r="Q286" s="257">
        <v>0</v>
      </c>
      <c r="R286" s="257">
        <v>0</v>
      </c>
      <c r="S286" s="257">
        <v>0</v>
      </c>
      <c r="T286" s="256">
        <v>0</v>
      </c>
      <c r="U286" s="256">
        <v>0</v>
      </c>
      <c r="V286" s="256">
        <f t="shared" si="8"/>
        <v>1902081.08</v>
      </c>
      <c r="W286" s="230"/>
    </row>
    <row r="287" spans="1:23" s="232" customFormat="1" ht="12.75" hidden="1" outlineLevel="1">
      <c r="A287" s="230" t="s">
        <v>2635</v>
      </c>
      <c r="B287" s="231"/>
      <c r="C287" s="231" t="s">
        <v>2636</v>
      </c>
      <c r="D287" s="231" t="s">
        <v>2637</v>
      </c>
      <c r="E287" s="256">
        <v>93800.5</v>
      </c>
      <c r="F287" s="256">
        <v>0</v>
      </c>
      <c r="G287" s="256"/>
      <c r="H287" s="257">
        <v>0</v>
      </c>
      <c r="I287" s="257">
        <v>0</v>
      </c>
      <c r="J287" s="257">
        <v>0</v>
      </c>
      <c r="K287" s="257">
        <v>0</v>
      </c>
      <c r="L287" s="257">
        <v>0</v>
      </c>
      <c r="M287" s="257">
        <v>0</v>
      </c>
      <c r="N287" s="257">
        <v>0</v>
      </c>
      <c r="O287" s="257">
        <v>0</v>
      </c>
      <c r="P287" s="257">
        <v>0</v>
      </c>
      <c r="Q287" s="257">
        <v>0</v>
      </c>
      <c r="R287" s="257">
        <v>0</v>
      </c>
      <c r="S287" s="257">
        <v>0</v>
      </c>
      <c r="T287" s="256">
        <v>0</v>
      </c>
      <c r="U287" s="256">
        <v>0</v>
      </c>
      <c r="V287" s="256">
        <f t="shared" si="8"/>
        <v>93800.5</v>
      </c>
      <c r="W287" s="230"/>
    </row>
    <row r="288" spans="1:23" s="232" customFormat="1" ht="12.75" hidden="1" outlineLevel="1">
      <c r="A288" s="230" t="s">
        <v>2638</v>
      </c>
      <c r="B288" s="231"/>
      <c r="C288" s="231" t="s">
        <v>2639</v>
      </c>
      <c r="D288" s="231" t="s">
        <v>2640</v>
      </c>
      <c r="E288" s="256">
        <v>86877.94</v>
      </c>
      <c r="F288" s="256">
        <v>0</v>
      </c>
      <c r="G288" s="256"/>
      <c r="H288" s="257">
        <v>0</v>
      </c>
      <c r="I288" s="257">
        <v>0</v>
      </c>
      <c r="J288" s="257">
        <v>0</v>
      </c>
      <c r="K288" s="257">
        <v>0</v>
      </c>
      <c r="L288" s="257">
        <v>0</v>
      </c>
      <c r="M288" s="257">
        <v>0</v>
      </c>
      <c r="N288" s="257">
        <v>0</v>
      </c>
      <c r="O288" s="257">
        <v>0</v>
      </c>
      <c r="P288" s="257">
        <v>0</v>
      </c>
      <c r="Q288" s="257">
        <v>0</v>
      </c>
      <c r="R288" s="257">
        <v>0</v>
      </c>
      <c r="S288" s="257">
        <v>0</v>
      </c>
      <c r="T288" s="256">
        <v>0</v>
      </c>
      <c r="U288" s="256">
        <v>0</v>
      </c>
      <c r="V288" s="256">
        <f t="shared" si="8"/>
        <v>86877.94</v>
      </c>
      <c r="W288" s="230"/>
    </row>
    <row r="289" spans="1:23" s="232" customFormat="1" ht="12.75" hidden="1" outlineLevel="1">
      <c r="A289" s="230" t="s">
        <v>2641</v>
      </c>
      <c r="B289" s="231"/>
      <c r="C289" s="231" t="s">
        <v>2642</v>
      </c>
      <c r="D289" s="231" t="s">
        <v>2643</v>
      </c>
      <c r="E289" s="256">
        <v>764331.41</v>
      </c>
      <c r="F289" s="256">
        <v>0</v>
      </c>
      <c r="G289" s="256"/>
      <c r="H289" s="257">
        <v>0</v>
      </c>
      <c r="I289" s="257">
        <v>0</v>
      </c>
      <c r="J289" s="257">
        <v>0</v>
      </c>
      <c r="K289" s="257">
        <v>0</v>
      </c>
      <c r="L289" s="257">
        <v>0</v>
      </c>
      <c r="M289" s="257">
        <v>0</v>
      </c>
      <c r="N289" s="257">
        <v>0</v>
      </c>
      <c r="O289" s="257">
        <v>0</v>
      </c>
      <c r="P289" s="257">
        <v>0</v>
      </c>
      <c r="Q289" s="257">
        <v>0</v>
      </c>
      <c r="R289" s="257">
        <v>0</v>
      </c>
      <c r="S289" s="257">
        <v>0</v>
      </c>
      <c r="T289" s="256">
        <v>0</v>
      </c>
      <c r="U289" s="256">
        <v>0</v>
      </c>
      <c r="V289" s="256">
        <f t="shared" si="8"/>
        <v>764331.41</v>
      </c>
      <c r="W289" s="230"/>
    </row>
    <row r="290" spans="1:23" s="232" customFormat="1" ht="12.75" hidden="1" outlineLevel="1">
      <c r="A290" s="230" t="s">
        <v>2650</v>
      </c>
      <c r="B290" s="231"/>
      <c r="C290" s="231" t="s">
        <v>2651</v>
      </c>
      <c r="D290" s="231" t="s">
        <v>2652</v>
      </c>
      <c r="E290" s="256">
        <v>-1355537.34</v>
      </c>
      <c r="F290" s="256">
        <v>310956</v>
      </c>
      <c r="G290" s="256"/>
      <c r="H290" s="257">
        <v>2041</v>
      </c>
      <c r="I290" s="257">
        <v>55563</v>
      </c>
      <c r="J290" s="257">
        <v>28561</v>
      </c>
      <c r="K290" s="257">
        <v>0</v>
      </c>
      <c r="L290" s="257">
        <v>0</v>
      </c>
      <c r="M290" s="257">
        <v>28576</v>
      </c>
      <c r="N290" s="257">
        <v>0</v>
      </c>
      <c r="O290" s="257">
        <v>0</v>
      </c>
      <c r="P290" s="257">
        <v>146886</v>
      </c>
      <c r="Q290" s="257">
        <v>13623</v>
      </c>
      <c r="R290" s="257">
        <v>76092</v>
      </c>
      <c r="S290" s="257">
        <v>58087</v>
      </c>
      <c r="T290" s="256">
        <v>409429</v>
      </c>
      <c r="U290" s="256">
        <v>0</v>
      </c>
      <c r="V290" s="256">
        <f t="shared" si="8"/>
        <v>-635152.3400000001</v>
      </c>
      <c r="W290" s="230"/>
    </row>
    <row r="291" spans="1:23" s="232" customFormat="1" ht="12.75" hidden="1" outlineLevel="1">
      <c r="A291" s="230" t="s">
        <v>2653</v>
      </c>
      <c r="B291" s="231"/>
      <c r="C291" s="231" t="s">
        <v>2654</v>
      </c>
      <c r="D291" s="231" t="s">
        <v>2655</v>
      </c>
      <c r="E291" s="256">
        <v>-525864</v>
      </c>
      <c r="F291" s="256">
        <v>0</v>
      </c>
      <c r="G291" s="256"/>
      <c r="H291" s="257">
        <v>0</v>
      </c>
      <c r="I291" s="257">
        <v>0</v>
      </c>
      <c r="J291" s="257">
        <v>0</v>
      </c>
      <c r="K291" s="257">
        <v>0</v>
      </c>
      <c r="L291" s="257">
        <v>0</v>
      </c>
      <c r="M291" s="257">
        <v>0</v>
      </c>
      <c r="N291" s="257">
        <v>0</v>
      </c>
      <c r="O291" s="257">
        <v>0</v>
      </c>
      <c r="P291" s="257">
        <v>0</v>
      </c>
      <c r="Q291" s="257">
        <v>0</v>
      </c>
      <c r="R291" s="257">
        <v>0</v>
      </c>
      <c r="S291" s="257">
        <v>0</v>
      </c>
      <c r="T291" s="256">
        <v>0</v>
      </c>
      <c r="U291" s="256">
        <v>0</v>
      </c>
      <c r="V291" s="256">
        <f t="shared" si="8"/>
        <v>-525864</v>
      </c>
      <c r="W291" s="230"/>
    </row>
    <row r="292" spans="1:23" ht="12.75" customHeight="1" collapsed="1">
      <c r="A292" s="261" t="s">
        <v>492</v>
      </c>
      <c r="B292" s="214"/>
      <c r="C292" s="213" t="s">
        <v>2666</v>
      </c>
      <c r="D292" s="215"/>
      <c r="E292" s="102">
        <v>24655609.710000005</v>
      </c>
      <c r="F292" s="102">
        <v>1406145.99</v>
      </c>
      <c r="G292" s="102">
        <v>14127035.78</v>
      </c>
      <c r="H292" s="262">
        <v>-46763.96</v>
      </c>
      <c r="I292" s="262">
        <v>-440136.11</v>
      </c>
      <c r="J292" s="262">
        <v>-65463.43</v>
      </c>
      <c r="K292" s="262">
        <v>6704.83</v>
      </c>
      <c r="L292" s="262">
        <v>-85819.08999999985</v>
      </c>
      <c r="M292" s="262">
        <v>-40279.53000000006</v>
      </c>
      <c r="N292" s="262">
        <v>-79003.5</v>
      </c>
      <c r="O292" s="262">
        <v>-53470.43</v>
      </c>
      <c r="P292" s="262">
        <v>-975502.78</v>
      </c>
      <c r="Q292" s="262">
        <v>13623</v>
      </c>
      <c r="R292" s="262">
        <v>-626871.53</v>
      </c>
      <c r="S292" s="262">
        <v>-1342997.19</v>
      </c>
      <c r="T292" s="102">
        <v>-3735979.72</v>
      </c>
      <c r="U292" s="102">
        <v>0</v>
      </c>
      <c r="V292" s="102">
        <f t="shared" si="8"/>
        <v>36452811.760000005</v>
      </c>
      <c r="W292" s="261"/>
    </row>
    <row r="293" spans="1:23" s="232" customFormat="1" ht="12.75" hidden="1" outlineLevel="1">
      <c r="A293" s="230" t="s">
        <v>2667</v>
      </c>
      <c r="B293" s="231"/>
      <c r="C293" s="231" t="s">
        <v>2668</v>
      </c>
      <c r="D293" s="231" t="s">
        <v>2669</v>
      </c>
      <c r="E293" s="256">
        <v>3836000</v>
      </c>
      <c r="F293" s="256">
        <v>0</v>
      </c>
      <c r="G293" s="256"/>
      <c r="H293" s="257">
        <v>0</v>
      </c>
      <c r="I293" s="257">
        <v>0</v>
      </c>
      <c r="J293" s="257">
        <v>0</v>
      </c>
      <c r="K293" s="257">
        <v>0</v>
      </c>
      <c r="L293" s="257">
        <v>0</v>
      </c>
      <c r="M293" s="257">
        <v>0</v>
      </c>
      <c r="N293" s="257">
        <v>0</v>
      </c>
      <c r="O293" s="257">
        <v>0</v>
      </c>
      <c r="P293" s="257">
        <v>0</v>
      </c>
      <c r="Q293" s="257">
        <v>0</v>
      </c>
      <c r="R293" s="257">
        <v>0</v>
      </c>
      <c r="S293" s="257">
        <v>0</v>
      </c>
      <c r="T293" s="256">
        <v>0</v>
      </c>
      <c r="U293" s="256">
        <v>0</v>
      </c>
      <c r="V293" s="256">
        <f t="shared" si="8"/>
        <v>3836000</v>
      </c>
      <c r="W293" s="230"/>
    </row>
    <row r="294" spans="1:23" ht="12.75" customHeight="1" collapsed="1">
      <c r="A294" s="213" t="s">
        <v>2670</v>
      </c>
      <c r="B294" s="214"/>
      <c r="C294" s="213" t="s">
        <v>1561</v>
      </c>
      <c r="D294" s="215"/>
      <c r="E294" s="102">
        <v>3836000</v>
      </c>
      <c r="F294" s="102">
        <v>0</v>
      </c>
      <c r="G294" s="102">
        <v>0</v>
      </c>
      <c r="H294" s="263">
        <v>0</v>
      </c>
      <c r="I294" s="263">
        <v>0</v>
      </c>
      <c r="J294" s="263">
        <v>0</v>
      </c>
      <c r="K294" s="263">
        <v>0</v>
      </c>
      <c r="L294" s="263">
        <v>0</v>
      </c>
      <c r="M294" s="263">
        <v>0</v>
      </c>
      <c r="N294" s="263">
        <v>0</v>
      </c>
      <c r="O294" s="263">
        <v>0</v>
      </c>
      <c r="P294" s="263">
        <v>0</v>
      </c>
      <c r="Q294" s="263">
        <v>0</v>
      </c>
      <c r="R294" s="263">
        <v>0</v>
      </c>
      <c r="S294" s="263">
        <v>0</v>
      </c>
      <c r="T294" s="102">
        <v>0</v>
      </c>
      <c r="U294" s="102">
        <v>0</v>
      </c>
      <c r="V294" s="102">
        <f t="shared" si="8"/>
        <v>3836000</v>
      </c>
      <c r="W294" s="213"/>
    </row>
    <row r="295" spans="1:23" s="232" customFormat="1" ht="12.75" hidden="1" outlineLevel="1">
      <c r="A295" s="230" t="s">
        <v>2686</v>
      </c>
      <c r="B295" s="231"/>
      <c r="C295" s="231" t="s">
        <v>2687</v>
      </c>
      <c r="D295" s="231" t="s">
        <v>2688</v>
      </c>
      <c r="E295" s="256">
        <v>522459.45</v>
      </c>
      <c r="F295" s="256">
        <v>0</v>
      </c>
      <c r="G295" s="256"/>
      <c r="H295" s="257">
        <v>0</v>
      </c>
      <c r="I295" s="257">
        <v>0</v>
      </c>
      <c r="J295" s="257">
        <v>0</v>
      </c>
      <c r="K295" s="257">
        <v>0</v>
      </c>
      <c r="L295" s="257">
        <v>0</v>
      </c>
      <c r="M295" s="257">
        <v>0</v>
      </c>
      <c r="N295" s="257">
        <v>0</v>
      </c>
      <c r="O295" s="257">
        <v>0</v>
      </c>
      <c r="P295" s="257">
        <v>0</v>
      </c>
      <c r="Q295" s="257">
        <v>0</v>
      </c>
      <c r="R295" s="257">
        <v>29370</v>
      </c>
      <c r="S295" s="257">
        <v>0</v>
      </c>
      <c r="T295" s="256">
        <v>29370</v>
      </c>
      <c r="U295" s="256">
        <v>0</v>
      </c>
      <c r="V295" s="256">
        <f aca="true" t="shared" si="9" ref="V295:V309">E295+F295+G295+T295+U295</f>
        <v>551829.45</v>
      </c>
      <c r="W295" s="230"/>
    </row>
    <row r="296" spans="1:23" s="232" customFormat="1" ht="12.75" hidden="1" outlineLevel="1">
      <c r="A296" s="230" t="s">
        <v>2689</v>
      </c>
      <c r="B296" s="231"/>
      <c r="C296" s="231" t="s">
        <v>2690</v>
      </c>
      <c r="D296" s="231" t="s">
        <v>2691</v>
      </c>
      <c r="E296" s="256">
        <v>13228</v>
      </c>
      <c r="F296" s="256">
        <v>0</v>
      </c>
      <c r="G296" s="256"/>
      <c r="H296" s="257">
        <v>0</v>
      </c>
      <c r="I296" s="257">
        <v>5695</v>
      </c>
      <c r="J296" s="257">
        <v>0</v>
      </c>
      <c r="K296" s="257">
        <v>0</v>
      </c>
      <c r="L296" s="257">
        <v>3234</v>
      </c>
      <c r="M296" s="257">
        <v>0</v>
      </c>
      <c r="N296" s="257">
        <v>0</v>
      </c>
      <c r="O296" s="257">
        <v>0</v>
      </c>
      <c r="P296" s="257">
        <v>0</v>
      </c>
      <c r="Q296" s="257">
        <v>0</v>
      </c>
      <c r="R296" s="257">
        <v>0</v>
      </c>
      <c r="S296" s="257">
        <v>0</v>
      </c>
      <c r="T296" s="256">
        <v>8929</v>
      </c>
      <c r="U296" s="256">
        <v>0</v>
      </c>
      <c r="V296" s="256">
        <f t="shared" si="9"/>
        <v>22157</v>
      </c>
      <c r="W296" s="230"/>
    </row>
    <row r="297" spans="1:23" s="232" customFormat="1" ht="12.75" hidden="1" outlineLevel="1">
      <c r="A297" s="230" t="s">
        <v>2692</v>
      </c>
      <c r="B297" s="231"/>
      <c r="C297" s="231" t="s">
        <v>2693</v>
      </c>
      <c r="D297" s="231" t="s">
        <v>2694</v>
      </c>
      <c r="E297" s="256">
        <v>135000</v>
      </c>
      <c r="F297" s="256">
        <v>0</v>
      </c>
      <c r="G297" s="256"/>
      <c r="H297" s="257">
        <v>0</v>
      </c>
      <c r="I297" s="257">
        <v>0</v>
      </c>
      <c r="J297" s="257">
        <v>0</v>
      </c>
      <c r="K297" s="257">
        <v>0</v>
      </c>
      <c r="L297" s="257">
        <v>0</v>
      </c>
      <c r="M297" s="257">
        <v>0</v>
      </c>
      <c r="N297" s="257">
        <v>0</v>
      </c>
      <c r="O297" s="257">
        <v>0</v>
      </c>
      <c r="P297" s="257">
        <v>0</v>
      </c>
      <c r="Q297" s="257">
        <v>0</v>
      </c>
      <c r="R297" s="257">
        <v>0</v>
      </c>
      <c r="S297" s="257">
        <v>0</v>
      </c>
      <c r="T297" s="256">
        <v>0</v>
      </c>
      <c r="U297" s="256">
        <v>0</v>
      </c>
      <c r="V297" s="256">
        <f t="shared" si="9"/>
        <v>135000</v>
      </c>
      <c r="W297" s="230"/>
    </row>
    <row r="298" spans="1:23" s="232" customFormat="1" ht="12.75" hidden="1" outlineLevel="1">
      <c r="A298" s="230" t="s">
        <v>2695</v>
      </c>
      <c r="B298" s="231"/>
      <c r="C298" s="231" t="s">
        <v>2696</v>
      </c>
      <c r="D298" s="231" t="s">
        <v>2697</v>
      </c>
      <c r="E298" s="256">
        <v>14263.57</v>
      </c>
      <c r="F298" s="256">
        <v>0</v>
      </c>
      <c r="G298" s="256"/>
      <c r="H298" s="257">
        <v>0</v>
      </c>
      <c r="I298" s="257">
        <v>0</v>
      </c>
      <c r="J298" s="257">
        <v>0</v>
      </c>
      <c r="K298" s="257">
        <v>0</v>
      </c>
      <c r="L298" s="257">
        <v>0</v>
      </c>
      <c r="M298" s="257">
        <v>0</v>
      </c>
      <c r="N298" s="257">
        <v>0</v>
      </c>
      <c r="O298" s="257">
        <v>0</v>
      </c>
      <c r="P298" s="257">
        <v>20905.48</v>
      </c>
      <c r="Q298" s="257">
        <v>0</v>
      </c>
      <c r="R298" s="257">
        <v>0</v>
      </c>
      <c r="S298" s="257">
        <v>0</v>
      </c>
      <c r="T298" s="256">
        <v>20905.48</v>
      </c>
      <c r="U298" s="256">
        <v>0</v>
      </c>
      <c r="V298" s="256">
        <f t="shared" si="9"/>
        <v>35169.05</v>
      </c>
      <c r="W298" s="230"/>
    </row>
    <row r="299" spans="1:23" s="232" customFormat="1" ht="12.75" hidden="1" outlineLevel="1">
      <c r="A299" s="230" t="s">
        <v>2698</v>
      </c>
      <c r="B299" s="231"/>
      <c r="C299" s="231" t="s">
        <v>2699</v>
      </c>
      <c r="D299" s="231" t="s">
        <v>2700</v>
      </c>
      <c r="E299" s="256">
        <v>87546.33</v>
      </c>
      <c r="F299" s="256">
        <v>0</v>
      </c>
      <c r="G299" s="256"/>
      <c r="H299" s="257">
        <v>0</v>
      </c>
      <c r="I299" s="257">
        <v>0</v>
      </c>
      <c r="J299" s="257">
        <v>0</v>
      </c>
      <c r="K299" s="257">
        <v>0</v>
      </c>
      <c r="L299" s="257">
        <v>0</v>
      </c>
      <c r="M299" s="257">
        <v>0</v>
      </c>
      <c r="N299" s="257">
        <v>0</v>
      </c>
      <c r="O299" s="257">
        <v>0</v>
      </c>
      <c r="P299" s="257">
        <v>0</v>
      </c>
      <c r="Q299" s="257">
        <v>0</v>
      </c>
      <c r="R299" s="257">
        <v>0</v>
      </c>
      <c r="S299" s="257">
        <v>0</v>
      </c>
      <c r="T299" s="256">
        <v>0</v>
      </c>
      <c r="U299" s="256">
        <v>0</v>
      </c>
      <c r="V299" s="256">
        <f t="shared" si="9"/>
        <v>87546.33</v>
      </c>
      <c r="W299" s="230"/>
    </row>
    <row r="300" spans="1:23" s="232" customFormat="1" ht="12.75" hidden="1" outlineLevel="1">
      <c r="A300" s="230" t="s">
        <v>2701</v>
      </c>
      <c r="B300" s="231"/>
      <c r="C300" s="231" t="s">
        <v>2702</v>
      </c>
      <c r="D300" s="231" t="s">
        <v>2703</v>
      </c>
      <c r="E300" s="256">
        <v>6038.67</v>
      </c>
      <c r="F300" s="256">
        <v>0</v>
      </c>
      <c r="G300" s="256"/>
      <c r="H300" s="257">
        <v>0</v>
      </c>
      <c r="I300" s="257">
        <v>0</v>
      </c>
      <c r="J300" s="257">
        <v>0</v>
      </c>
      <c r="K300" s="257">
        <v>0</v>
      </c>
      <c r="L300" s="257">
        <v>0</v>
      </c>
      <c r="M300" s="257">
        <v>0</v>
      </c>
      <c r="N300" s="257">
        <v>0</v>
      </c>
      <c r="O300" s="257">
        <v>0</v>
      </c>
      <c r="P300" s="257">
        <v>0</v>
      </c>
      <c r="Q300" s="257">
        <v>0</v>
      </c>
      <c r="R300" s="257">
        <v>0</v>
      </c>
      <c r="S300" s="257">
        <v>0</v>
      </c>
      <c r="T300" s="256">
        <v>0</v>
      </c>
      <c r="U300" s="256">
        <v>0</v>
      </c>
      <c r="V300" s="256">
        <f t="shared" si="9"/>
        <v>6038.67</v>
      </c>
      <c r="W300" s="230"/>
    </row>
    <row r="301" spans="1:23" s="232" customFormat="1" ht="12.75" hidden="1" outlineLevel="1">
      <c r="A301" s="230" t="s">
        <v>2704</v>
      </c>
      <c r="B301" s="231"/>
      <c r="C301" s="231" t="s">
        <v>2705</v>
      </c>
      <c r="D301" s="231" t="s">
        <v>2706</v>
      </c>
      <c r="E301" s="256">
        <v>42632.15</v>
      </c>
      <c r="F301" s="256">
        <v>0</v>
      </c>
      <c r="G301" s="256"/>
      <c r="H301" s="257">
        <v>0</v>
      </c>
      <c r="I301" s="257">
        <v>0</v>
      </c>
      <c r="J301" s="257">
        <v>0</v>
      </c>
      <c r="K301" s="257">
        <v>0</v>
      </c>
      <c r="L301" s="257">
        <v>0</v>
      </c>
      <c r="M301" s="257">
        <v>0</v>
      </c>
      <c r="N301" s="257">
        <v>0</v>
      </c>
      <c r="O301" s="257">
        <v>0</v>
      </c>
      <c r="P301" s="257">
        <v>0</v>
      </c>
      <c r="Q301" s="257">
        <v>0</v>
      </c>
      <c r="R301" s="257">
        <v>0</v>
      </c>
      <c r="S301" s="257">
        <v>0</v>
      </c>
      <c r="T301" s="256">
        <v>0</v>
      </c>
      <c r="U301" s="256">
        <v>0</v>
      </c>
      <c r="V301" s="256">
        <f t="shared" si="9"/>
        <v>42632.15</v>
      </c>
      <c r="W301" s="230"/>
    </row>
    <row r="302" spans="1:23" s="232" customFormat="1" ht="12.75" hidden="1" outlineLevel="1">
      <c r="A302" s="230" t="s">
        <v>2707</v>
      </c>
      <c r="B302" s="231"/>
      <c r="C302" s="231" t="s">
        <v>2708</v>
      </c>
      <c r="D302" s="231" t="s">
        <v>2709</v>
      </c>
      <c r="E302" s="256">
        <v>6602</v>
      </c>
      <c r="F302" s="256">
        <v>0</v>
      </c>
      <c r="G302" s="256"/>
      <c r="H302" s="257">
        <v>0</v>
      </c>
      <c r="I302" s="257">
        <v>0</v>
      </c>
      <c r="J302" s="257">
        <v>0</v>
      </c>
      <c r="K302" s="257">
        <v>0</v>
      </c>
      <c r="L302" s="257">
        <v>0</v>
      </c>
      <c r="M302" s="257">
        <v>0</v>
      </c>
      <c r="N302" s="257">
        <v>0</v>
      </c>
      <c r="O302" s="257">
        <v>0</v>
      </c>
      <c r="P302" s="257">
        <v>0</v>
      </c>
      <c r="Q302" s="257">
        <v>0</v>
      </c>
      <c r="R302" s="257">
        <v>0</v>
      </c>
      <c r="S302" s="257">
        <v>0</v>
      </c>
      <c r="T302" s="256">
        <v>0</v>
      </c>
      <c r="U302" s="256">
        <v>0</v>
      </c>
      <c r="V302" s="256">
        <f t="shared" si="9"/>
        <v>6602</v>
      </c>
      <c r="W302" s="230"/>
    </row>
    <row r="303" spans="1:23" s="232" customFormat="1" ht="12.75" hidden="1" outlineLevel="1">
      <c r="A303" s="230" t="s">
        <v>2710</v>
      </c>
      <c r="B303" s="231"/>
      <c r="C303" s="231" t="s">
        <v>2711</v>
      </c>
      <c r="D303" s="231" t="s">
        <v>2712</v>
      </c>
      <c r="E303" s="256">
        <v>89550.7</v>
      </c>
      <c r="F303" s="256">
        <v>0</v>
      </c>
      <c r="G303" s="256"/>
      <c r="H303" s="257">
        <v>0</v>
      </c>
      <c r="I303" s="257">
        <v>16898.6</v>
      </c>
      <c r="J303" s="257">
        <v>0</v>
      </c>
      <c r="K303" s="257">
        <v>0</v>
      </c>
      <c r="L303" s="257">
        <v>0</v>
      </c>
      <c r="M303" s="257">
        <v>0</v>
      </c>
      <c r="N303" s="257">
        <v>0</v>
      </c>
      <c r="O303" s="257">
        <v>0</v>
      </c>
      <c r="P303" s="257">
        <v>0</v>
      </c>
      <c r="Q303" s="257">
        <v>0</v>
      </c>
      <c r="R303" s="257">
        <v>0</v>
      </c>
      <c r="S303" s="257">
        <v>0</v>
      </c>
      <c r="T303" s="256">
        <v>16898.6</v>
      </c>
      <c r="U303" s="256">
        <v>0</v>
      </c>
      <c r="V303" s="256">
        <f t="shared" si="9"/>
        <v>106449.29999999999</v>
      </c>
      <c r="W303" s="230"/>
    </row>
    <row r="304" spans="1:23" s="232" customFormat="1" ht="12.75" hidden="1" outlineLevel="1">
      <c r="A304" s="230" t="s">
        <v>2713</v>
      </c>
      <c r="B304" s="231"/>
      <c r="C304" s="231" t="s">
        <v>2714</v>
      </c>
      <c r="D304" s="231" t="s">
        <v>2715</v>
      </c>
      <c r="E304" s="256">
        <v>27495</v>
      </c>
      <c r="F304" s="256">
        <v>0</v>
      </c>
      <c r="G304" s="256"/>
      <c r="H304" s="257">
        <v>0</v>
      </c>
      <c r="I304" s="257">
        <v>0</v>
      </c>
      <c r="J304" s="257">
        <v>0</v>
      </c>
      <c r="K304" s="257">
        <v>0</v>
      </c>
      <c r="L304" s="257">
        <v>0</v>
      </c>
      <c r="M304" s="257">
        <v>0</v>
      </c>
      <c r="N304" s="257">
        <v>0</v>
      </c>
      <c r="O304" s="257">
        <v>0</v>
      </c>
      <c r="P304" s="257">
        <v>0</v>
      </c>
      <c r="Q304" s="257">
        <v>0</v>
      </c>
      <c r="R304" s="257">
        <v>0</v>
      </c>
      <c r="S304" s="257">
        <v>0</v>
      </c>
      <c r="T304" s="256">
        <v>0</v>
      </c>
      <c r="U304" s="256">
        <v>0</v>
      </c>
      <c r="V304" s="256">
        <f t="shared" si="9"/>
        <v>27495</v>
      </c>
      <c r="W304" s="230"/>
    </row>
    <row r="305" spans="1:23" s="232" customFormat="1" ht="12.75" hidden="1" outlineLevel="1">
      <c r="A305" s="230" t="s">
        <v>2716</v>
      </c>
      <c r="B305" s="231"/>
      <c r="C305" s="231" t="s">
        <v>2717</v>
      </c>
      <c r="D305" s="231" t="s">
        <v>2718</v>
      </c>
      <c r="E305" s="256">
        <v>1635887.82</v>
      </c>
      <c r="F305" s="256">
        <v>0</v>
      </c>
      <c r="G305" s="256"/>
      <c r="H305" s="257">
        <v>0</v>
      </c>
      <c r="I305" s="257">
        <v>0</v>
      </c>
      <c r="J305" s="257">
        <v>0</v>
      </c>
      <c r="K305" s="257">
        <v>0</v>
      </c>
      <c r="L305" s="257">
        <v>0</v>
      </c>
      <c r="M305" s="257">
        <v>0</v>
      </c>
      <c r="N305" s="257">
        <v>0</v>
      </c>
      <c r="O305" s="257">
        <v>0</v>
      </c>
      <c r="P305" s="257">
        <v>0</v>
      </c>
      <c r="Q305" s="257">
        <v>0</v>
      </c>
      <c r="R305" s="257">
        <v>0</v>
      </c>
      <c r="S305" s="257">
        <v>0</v>
      </c>
      <c r="T305" s="256">
        <v>0</v>
      </c>
      <c r="U305" s="256">
        <v>0</v>
      </c>
      <c r="V305" s="256">
        <f t="shared" si="9"/>
        <v>1635887.82</v>
      </c>
      <c r="W305" s="230"/>
    </row>
    <row r="306" spans="1:23" s="232" customFormat="1" ht="12.75" hidden="1" outlineLevel="1">
      <c r="A306" s="230" t="s">
        <v>2725</v>
      </c>
      <c r="B306" s="231"/>
      <c r="C306" s="231" t="s">
        <v>2726</v>
      </c>
      <c r="D306" s="231" t="s">
        <v>2727</v>
      </c>
      <c r="E306" s="256">
        <v>20434.5</v>
      </c>
      <c r="F306" s="256">
        <v>0</v>
      </c>
      <c r="G306" s="256"/>
      <c r="H306" s="257">
        <v>0</v>
      </c>
      <c r="I306" s="257">
        <v>0</v>
      </c>
      <c r="J306" s="257">
        <v>0</v>
      </c>
      <c r="K306" s="257">
        <v>0</v>
      </c>
      <c r="L306" s="257">
        <v>0</v>
      </c>
      <c r="M306" s="257">
        <v>0</v>
      </c>
      <c r="N306" s="257">
        <v>0</v>
      </c>
      <c r="O306" s="257">
        <v>0</v>
      </c>
      <c r="P306" s="257">
        <v>0</v>
      </c>
      <c r="Q306" s="257">
        <v>0</v>
      </c>
      <c r="R306" s="257">
        <v>0</v>
      </c>
      <c r="S306" s="257">
        <v>0</v>
      </c>
      <c r="T306" s="256">
        <v>0</v>
      </c>
      <c r="U306" s="256">
        <v>0</v>
      </c>
      <c r="V306" s="256">
        <f t="shared" si="9"/>
        <v>20434.5</v>
      </c>
      <c r="W306" s="230"/>
    </row>
    <row r="307" spans="1:23" s="232" customFormat="1" ht="12.75" hidden="1" outlineLevel="1">
      <c r="A307" s="230" t="s">
        <v>2739</v>
      </c>
      <c r="B307" s="231"/>
      <c r="C307" s="231" t="s">
        <v>2740</v>
      </c>
      <c r="D307" s="231" t="s">
        <v>2741</v>
      </c>
      <c r="E307" s="256">
        <v>25544.9</v>
      </c>
      <c r="F307" s="256">
        <v>0</v>
      </c>
      <c r="G307" s="256"/>
      <c r="H307" s="257">
        <v>0</v>
      </c>
      <c r="I307" s="257">
        <v>0</v>
      </c>
      <c r="J307" s="257">
        <v>0</v>
      </c>
      <c r="K307" s="257">
        <v>0</v>
      </c>
      <c r="L307" s="257">
        <v>0</v>
      </c>
      <c r="M307" s="257">
        <v>0</v>
      </c>
      <c r="N307" s="257">
        <v>0</v>
      </c>
      <c r="O307" s="257">
        <v>0</v>
      </c>
      <c r="P307" s="257">
        <v>0</v>
      </c>
      <c r="Q307" s="257">
        <v>0</v>
      </c>
      <c r="R307" s="257">
        <v>0</v>
      </c>
      <c r="S307" s="257">
        <v>0</v>
      </c>
      <c r="T307" s="256">
        <v>0</v>
      </c>
      <c r="U307" s="256">
        <v>0</v>
      </c>
      <c r="V307" s="256">
        <f t="shared" si="9"/>
        <v>25544.9</v>
      </c>
      <c r="W307" s="230"/>
    </row>
    <row r="308" spans="1:23" ht="12.75" customHeight="1" collapsed="1">
      <c r="A308" s="213" t="s">
        <v>2742</v>
      </c>
      <c r="B308" s="214"/>
      <c r="C308" s="213" t="s">
        <v>2743</v>
      </c>
      <c r="D308" s="215"/>
      <c r="E308" s="102">
        <v>2626683.09</v>
      </c>
      <c r="F308" s="102">
        <v>0</v>
      </c>
      <c r="G308" s="102">
        <v>5576.99</v>
      </c>
      <c r="H308" s="263">
        <v>0</v>
      </c>
      <c r="I308" s="263">
        <v>22593.6</v>
      </c>
      <c r="J308" s="263">
        <v>0</v>
      </c>
      <c r="K308" s="263">
        <v>0</v>
      </c>
      <c r="L308" s="263">
        <v>3234</v>
      </c>
      <c r="M308" s="263">
        <v>0</v>
      </c>
      <c r="N308" s="263">
        <v>0</v>
      </c>
      <c r="O308" s="263">
        <v>0</v>
      </c>
      <c r="P308" s="263">
        <v>20905.48</v>
      </c>
      <c r="Q308" s="263">
        <v>0</v>
      </c>
      <c r="R308" s="263">
        <v>29370</v>
      </c>
      <c r="S308" s="263">
        <v>0</v>
      </c>
      <c r="T308" s="102">
        <v>76103.08</v>
      </c>
      <c r="U308" s="102">
        <v>0</v>
      </c>
      <c r="V308" s="102">
        <f t="shared" si="9"/>
        <v>2708363.16</v>
      </c>
      <c r="W308" s="213"/>
    </row>
    <row r="309" spans="1:23" ht="12.75" customHeight="1">
      <c r="A309" s="213" t="s">
        <v>2753</v>
      </c>
      <c r="B309" s="214"/>
      <c r="C309" s="213" t="s">
        <v>1562</v>
      </c>
      <c r="D309" s="215"/>
      <c r="E309" s="102">
        <v>0</v>
      </c>
      <c r="F309" s="102">
        <v>0</v>
      </c>
      <c r="G309" s="102">
        <v>0</v>
      </c>
      <c r="H309" s="263">
        <v>0</v>
      </c>
      <c r="I309" s="263">
        <v>0</v>
      </c>
      <c r="J309" s="263">
        <v>0</v>
      </c>
      <c r="K309" s="263">
        <v>0</v>
      </c>
      <c r="L309" s="263">
        <v>0</v>
      </c>
      <c r="M309" s="263">
        <v>0</v>
      </c>
      <c r="N309" s="263">
        <v>0</v>
      </c>
      <c r="O309" s="263">
        <v>0</v>
      </c>
      <c r="P309" s="263">
        <v>0</v>
      </c>
      <c r="Q309" s="263">
        <v>0</v>
      </c>
      <c r="R309" s="263">
        <v>0</v>
      </c>
      <c r="S309" s="263">
        <v>0</v>
      </c>
      <c r="T309" s="102">
        <v>0</v>
      </c>
      <c r="U309" s="102">
        <v>0</v>
      </c>
      <c r="V309" s="102">
        <f t="shared" si="9"/>
        <v>0</v>
      </c>
      <c r="W309" s="213"/>
    </row>
    <row r="310" spans="1:23" ht="12.75" customHeight="1">
      <c r="A310" s="218" t="s">
        <v>1488</v>
      </c>
      <c r="B310" s="219"/>
      <c r="C310" s="212" t="s">
        <v>1563</v>
      </c>
      <c r="D310" s="65"/>
      <c r="E310" s="104">
        <f aca="true" t="shared" si="10" ref="E310:V310">E115+E133+E292+E294+E309+E308</f>
        <v>110859257.29</v>
      </c>
      <c r="F310" s="104">
        <f t="shared" si="10"/>
        <v>4905524.42</v>
      </c>
      <c r="G310" s="104">
        <f t="shared" si="10"/>
        <v>18308185.299999997</v>
      </c>
      <c r="H310" s="264">
        <f t="shared" si="10"/>
        <v>-1002.8499999999985</v>
      </c>
      <c r="I310" s="264">
        <f t="shared" si="10"/>
        <v>203952.61000000002</v>
      </c>
      <c r="J310" s="264">
        <f t="shared" si="10"/>
        <v>130717.86000000002</v>
      </c>
      <c r="K310" s="264">
        <f t="shared" si="10"/>
        <v>6704.83</v>
      </c>
      <c r="L310" s="264">
        <f t="shared" si="10"/>
        <v>51026.80000000016</v>
      </c>
      <c r="M310" s="264">
        <f t="shared" si="10"/>
        <v>-14409.010000000057</v>
      </c>
      <c r="N310" s="264">
        <f t="shared" si="10"/>
        <v>22629.22</v>
      </c>
      <c r="O310" s="264">
        <f t="shared" si="10"/>
        <v>-2475.0599999999977</v>
      </c>
      <c r="P310" s="264">
        <f t="shared" si="10"/>
        <v>-289102.25</v>
      </c>
      <c r="Q310" s="264">
        <f t="shared" si="10"/>
        <v>13623</v>
      </c>
      <c r="R310" s="264">
        <f t="shared" si="10"/>
        <v>-309614.42000000004</v>
      </c>
      <c r="S310" s="264">
        <f t="shared" si="10"/>
        <v>125522.92000000016</v>
      </c>
      <c r="T310" s="104">
        <f t="shared" si="10"/>
        <v>-62426.350000000166</v>
      </c>
      <c r="U310" s="104">
        <f t="shared" si="10"/>
        <v>0</v>
      </c>
      <c r="V310" s="104">
        <f t="shared" si="10"/>
        <v>134010540.66</v>
      </c>
      <c r="W310" s="211"/>
    </row>
    <row r="311" spans="2:22" ht="12.75" customHeight="1">
      <c r="B311" s="219"/>
      <c r="C311" s="220"/>
      <c r="D311" s="74"/>
      <c r="E311" s="102"/>
      <c r="F311" s="102"/>
      <c r="G311" s="10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102"/>
      <c r="U311" s="102"/>
      <c r="V311" s="102"/>
    </row>
    <row r="312" spans="1:23" ht="12.75" customHeight="1">
      <c r="A312" s="211"/>
      <c r="B312" s="219" t="s">
        <v>107</v>
      </c>
      <c r="C312" s="220"/>
      <c r="D312" s="74"/>
      <c r="E312" s="102"/>
      <c r="F312" s="102"/>
      <c r="G312" s="102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102"/>
      <c r="U312" s="102"/>
      <c r="V312" s="102"/>
      <c r="W312" s="211"/>
    </row>
    <row r="313" spans="1:23" ht="12.75" customHeight="1">
      <c r="A313" s="218" t="s">
        <v>1488</v>
      </c>
      <c r="B313" s="219" t="s">
        <v>493</v>
      </c>
      <c r="C313" s="220"/>
      <c r="D313" s="74"/>
      <c r="E313" s="104">
        <f aca="true" t="shared" si="11" ref="E313:V313">E100-E310</f>
        <v>-45955140.169999994</v>
      </c>
      <c r="F313" s="104">
        <f t="shared" si="11"/>
        <v>1187104.6100000003</v>
      </c>
      <c r="G313" s="104">
        <f t="shared" si="11"/>
        <v>4881063.530000001</v>
      </c>
      <c r="H313" s="264">
        <f t="shared" si="11"/>
        <v>1002.8499999999985</v>
      </c>
      <c r="I313" s="264">
        <f t="shared" si="11"/>
        <v>-199832.53000000003</v>
      </c>
      <c r="J313" s="264">
        <f t="shared" si="11"/>
        <v>-130604.86000000002</v>
      </c>
      <c r="K313" s="264">
        <f t="shared" si="11"/>
        <v>-48.159999999999854</v>
      </c>
      <c r="L313" s="264">
        <f t="shared" si="11"/>
        <v>-23208.36000000016</v>
      </c>
      <c r="M313" s="264">
        <f t="shared" si="11"/>
        <v>14409.010000000057</v>
      </c>
      <c r="N313" s="264">
        <f t="shared" si="11"/>
        <v>-22629.22</v>
      </c>
      <c r="O313" s="264">
        <f t="shared" si="11"/>
        <v>2475.0599999999977</v>
      </c>
      <c r="P313" s="264">
        <f t="shared" si="11"/>
        <v>414328.76</v>
      </c>
      <c r="Q313" s="264">
        <f t="shared" si="11"/>
        <v>-13623</v>
      </c>
      <c r="R313" s="264">
        <f t="shared" si="11"/>
        <v>434793.69000000006</v>
      </c>
      <c r="S313" s="264">
        <f t="shared" si="11"/>
        <v>-118816.29000000015</v>
      </c>
      <c r="T313" s="104">
        <f t="shared" si="11"/>
        <v>358246.9500000001</v>
      </c>
      <c r="U313" s="104">
        <f t="shared" si="11"/>
        <v>0</v>
      </c>
      <c r="V313" s="104">
        <f t="shared" si="11"/>
        <v>-39528725.07999997</v>
      </c>
      <c r="W313" s="211"/>
    </row>
    <row r="314" spans="2:22" ht="12.75" customHeight="1">
      <c r="B314" s="214"/>
      <c r="C314" s="213"/>
      <c r="D314" s="215"/>
      <c r="E314" s="102"/>
      <c r="F314" s="102"/>
      <c r="G314" s="10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102"/>
      <c r="U314" s="102"/>
      <c r="V314" s="102"/>
    </row>
    <row r="315" spans="1:23" ht="12.75" customHeight="1">
      <c r="A315" s="213" t="s">
        <v>494</v>
      </c>
      <c r="B315" s="214"/>
      <c r="C315" s="213" t="s">
        <v>1566</v>
      </c>
      <c r="D315" s="215"/>
      <c r="E315" s="102">
        <v>46420385</v>
      </c>
      <c r="F315" s="102">
        <v>0</v>
      </c>
      <c r="G315" s="102">
        <v>0</v>
      </c>
      <c r="H315" s="263">
        <v>0</v>
      </c>
      <c r="I315" s="263">
        <v>0</v>
      </c>
      <c r="J315" s="263">
        <v>0</v>
      </c>
      <c r="K315" s="263">
        <v>0</v>
      </c>
      <c r="L315" s="263">
        <v>0</v>
      </c>
      <c r="M315" s="263">
        <v>0</v>
      </c>
      <c r="N315" s="263">
        <v>0</v>
      </c>
      <c r="O315" s="263">
        <v>0</v>
      </c>
      <c r="P315" s="263">
        <v>0</v>
      </c>
      <c r="Q315" s="263">
        <v>0</v>
      </c>
      <c r="R315" s="263">
        <v>0</v>
      </c>
      <c r="S315" s="263">
        <v>0</v>
      </c>
      <c r="T315" s="102">
        <v>0</v>
      </c>
      <c r="U315" s="102">
        <v>0</v>
      </c>
      <c r="V315" s="102">
        <f>E315+F315+G315+T315+U315</f>
        <v>46420385</v>
      </c>
      <c r="W315" s="213"/>
    </row>
    <row r="316" spans="2:22" ht="12.75" customHeight="1">
      <c r="B316" s="214"/>
      <c r="C316" s="213"/>
      <c r="D316" s="215"/>
      <c r="E316" s="102"/>
      <c r="F316" s="102"/>
      <c r="G316" s="10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102"/>
      <c r="U316" s="102"/>
      <c r="V316" s="102"/>
    </row>
    <row r="317" spans="1:23" ht="12.75" customHeight="1">
      <c r="A317" s="211"/>
      <c r="B317" s="219" t="s">
        <v>109</v>
      </c>
      <c r="C317" s="220"/>
      <c r="D317" s="215"/>
      <c r="E317" s="102"/>
      <c r="F317" s="102"/>
      <c r="G317" s="102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102"/>
      <c r="U317" s="102"/>
      <c r="V317" s="102"/>
      <c r="W317" s="211"/>
    </row>
    <row r="318" spans="1:23" ht="12.75" customHeight="1">
      <c r="A318" s="218" t="s">
        <v>1488</v>
      </c>
      <c r="B318" s="219" t="s">
        <v>495</v>
      </c>
      <c r="C318" s="220"/>
      <c r="D318" s="74"/>
      <c r="E318" s="104">
        <f aca="true" t="shared" si="12" ref="E318:V318">E313+E315</f>
        <v>465244.83000000566</v>
      </c>
      <c r="F318" s="104">
        <f t="shared" si="12"/>
        <v>1187104.6100000003</v>
      </c>
      <c r="G318" s="104">
        <f t="shared" si="12"/>
        <v>4881063.530000001</v>
      </c>
      <c r="H318" s="264">
        <f t="shared" si="12"/>
        <v>1002.8499999999985</v>
      </c>
      <c r="I318" s="264">
        <f t="shared" si="12"/>
        <v>-199832.53000000003</v>
      </c>
      <c r="J318" s="264">
        <f t="shared" si="12"/>
        <v>-130604.86000000002</v>
      </c>
      <c r="K318" s="264">
        <f t="shared" si="12"/>
        <v>-48.159999999999854</v>
      </c>
      <c r="L318" s="264">
        <f t="shared" si="12"/>
        <v>-23208.36000000016</v>
      </c>
      <c r="M318" s="264">
        <f t="shared" si="12"/>
        <v>14409.010000000057</v>
      </c>
      <c r="N318" s="264">
        <f t="shared" si="12"/>
        <v>-22629.22</v>
      </c>
      <c r="O318" s="264">
        <f t="shared" si="12"/>
        <v>2475.0599999999977</v>
      </c>
      <c r="P318" s="264">
        <f t="shared" si="12"/>
        <v>414328.76</v>
      </c>
      <c r="Q318" s="264">
        <f t="shared" si="12"/>
        <v>-13623</v>
      </c>
      <c r="R318" s="264">
        <f t="shared" si="12"/>
        <v>434793.69000000006</v>
      </c>
      <c r="S318" s="264">
        <f t="shared" si="12"/>
        <v>-118816.29000000015</v>
      </c>
      <c r="T318" s="104">
        <f t="shared" si="12"/>
        <v>358246.9500000001</v>
      </c>
      <c r="U318" s="104">
        <f t="shared" si="12"/>
        <v>0</v>
      </c>
      <c r="V318" s="104">
        <f t="shared" si="12"/>
        <v>6891659.920000032</v>
      </c>
      <c r="W318" s="211"/>
    </row>
    <row r="319" spans="2:22" ht="12.75" customHeight="1">
      <c r="B319" s="214"/>
      <c r="C319" s="213"/>
      <c r="D319" s="215"/>
      <c r="E319" s="102"/>
      <c r="F319" s="102"/>
      <c r="G319" s="10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102"/>
      <c r="U319" s="102"/>
      <c r="V319" s="102"/>
    </row>
    <row r="320" spans="1:23" ht="12.75" customHeight="1">
      <c r="A320" s="211"/>
      <c r="B320" s="219" t="s">
        <v>496</v>
      </c>
      <c r="C320" s="220"/>
      <c r="D320" s="74"/>
      <c r="E320" s="102"/>
      <c r="F320" s="102"/>
      <c r="G320" s="102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102"/>
      <c r="U320" s="102"/>
      <c r="V320" s="102"/>
      <c r="W320" s="211"/>
    </row>
    <row r="321" spans="1:23" ht="12.75" customHeight="1">
      <c r="A321" s="213" t="s">
        <v>111</v>
      </c>
      <c r="B321" s="214"/>
      <c r="C321" s="213" t="s">
        <v>1569</v>
      </c>
      <c r="D321" s="215"/>
      <c r="E321" s="102">
        <v>0</v>
      </c>
      <c r="F321" s="102">
        <v>0</v>
      </c>
      <c r="G321" s="102">
        <v>0</v>
      </c>
      <c r="H321" s="263">
        <v>0</v>
      </c>
      <c r="I321" s="263">
        <v>0</v>
      </c>
      <c r="J321" s="263">
        <v>0</v>
      </c>
      <c r="K321" s="263">
        <v>0</v>
      </c>
      <c r="L321" s="263">
        <v>0</v>
      </c>
      <c r="M321" s="263">
        <v>0</v>
      </c>
      <c r="N321" s="263">
        <v>0</v>
      </c>
      <c r="O321" s="263">
        <v>0</v>
      </c>
      <c r="P321" s="263">
        <v>0</v>
      </c>
      <c r="Q321" s="263">
        <v>0</v>
      </c>
      <c r="R321" s="263">
        <v>0</v>
      </c>
      <c r="S321" s="263">
        <v>0</v>
      </c>
      <c r="T321" s="102">
        <v>0</v>
      </c>
      <c r="U321" s="102">
        <v>0</v>
      </c>
      <c r="V321" s="102">
        <f aca="true" t="shared" si="13" ref="V321:V327">E321+F321+G321+T321+U321</f>
        <v>0</v>
      </c>
      <c r="W321" s="213"/>
    </row>
    <row r="322" spans="1:23" s="232" customFormat="1" ht="12.75" hidden="1" outlineLevel="1">
      <c r="A322" s="230" t="s">
        <v>133</v>
      </c>
      <c r="B322" s="231"/>
      <c r="C322" s="231" t="s">
        <v>134</v>
      </c>
      <c r="D322" s="231" t="s">
        <v>135</v>
      </c>
      <c r="E322" s="256">
        <v>8163.72</v>
      </c>
      <c r="F322" s="256">
        <v>0</v>
      </c>
      <c r="G322" s="256"/>
      <c r="H322" s="257">
        <v>0</v>
      </c>
      <c r="I322" s="257">
        <v>0</v>
      </c>
      <c r="J322" s="257">
        <v>0</v>
      </c>
      <c r="K322" s="257">
        <v>0</v>
      </c>
      <c r="L322" s="257">
        <v>0</v>
      </c>
      <c r="M322" s="257">
        <v>0</v>
      </c>
      <c r="N322" s="257">
        <v>0</v>
      </c>
      <c r="O322" s="257">
        <v>0</v>
      </c>
      <c r="P322" s="257">
        <v>0</v>
      </c>
      <c r="Q322" s="257">
        <v>0</v>
      </c>
      <c r="R322" s="257">
        <v>0</v>
      </c>
      <c r="S322" s="257">
        <v>0</v>
      </c>
      <c r="T322" s="256">
        <v>0</v>
      </c>
      <c r="U322" s="256">
        <v>0</v>
      </c>
      <c r="V322" s="256">
        <f t="shared" si="13"/>
        <v>8163.72</v>
      </c>
      <c r="W322" s="230"/>
    </row>
    <row r="323" spans="1:23" ht="12.75" customHeight="1" collapsed="1">
      <c r="A323" s="213" t="s">
        <v>142</v>
      </c>
      <c r="B323" s="214"/>
      <c r="C323" s="213" t="s">
        <v>143</v>
      </c>
      <c r="D323" s="215"/>
      <c r="E323" s="102">
        <v>8163.72</v>
      </c>
      <c r="F323" s="102">
        <v>0</v>
      </c>
      <c r="G323" s="102">
        <v>-3.17</v>
      </c>
      <c r="H323" s="263">
        <v>0</v>
      </c>
      <c r="I323" s="263">
        <v>0</v>
      </c>
      <c r="J323" s="263">
        <v>0</v>
      </c>
      <c r="K323" s="263">
        <v>0</v>
      </c>
      <c r="L323" s="263">
        <v>0</v>
      </c>
      <c r="M323" s="263">
        <v>0</v>
      </c>
      <c r="N323" s="263">
        <v>0</v>
      </c>
      <c r="O323" s="263">
        <v>0</v>
      </c>
      <c r="P323" s="263">
        <v>0</v>
      </c>
      <c r="Q323" s="263">
        <v>0</v>
      </c>
      <c r="R323" s="263">
        <v>0</v>
      </c>
      <c r="S323" s="263">
        <v>0</v>
      </c>
      <c r="T323" s="102">
        <v>0</v>
      </c>
      <c r="U323" s="102">
        <v>0</v>
      </c>
      <c r="V323" s="102">
        <f t="shared" si="13"/>
        <v>8160.55</v>
      </c>
      <c r="W323" s="213"/>
    </row>
    <row r="324" spans="1:23" ht="12.75" customHeight="1">
      <c r="A324" s="213" t="s">
        <v>497</v>
      </c>
      <c r="B324" s="214"/>
      <c r="C324" s="213" t="s">
        <v>1571</v>
      </c>
      <c r="D324" s="215"/>
      <c r="E324" s="102">
        <v>85653.25</v>
      </c>
      <c r="F324" s="102">
        <v>0</v>
      </c>
      <c r="G324" s="102">
        <v>1890</v>
      </c>
      <c r="H324" s="263">
        <v>0</v>
      </c>
      <c r="I324" s="263">
        <v>0</v>
      </c>
      <c r="J324" s="263">
        <v>0</v>
      </c>
      <c r="K324" s="263">
        <v>0</v>
      </c>
      <c r="L324" s="263">
        <v>0</v>
      </c>
      <c r="M324" s="263">
        <v>0</v>
      </c>
      <c r="N324" s="263">
        <v>0</v>
      </c>
      <c r="O324" s="263">
        <v>0</v>
      </c>
      <c r="P324" s="263">
        <v>0</v>
      </c>
      <c r="Q324" s="263">
        <v>0</v>
      </c>
      <c r="R324" s="263">
        <v>0</v>
      </c>
      <c r="S324" s="263">
        <v>0</v>
      </c>
      <c r="T324" s="102">
        <v>0</v>
      </c>
      <c r="U324" s="102">
        <v>0</v>
      </c>
      <c r="V324" s="102">
        <f t="shared" si="13"/>
        <v>87543.25</v>
      </c>
      <c r="W324" s="213"/>
    </row>
    <row r="325" spans="1:23" ht="12.75" customHeight="1">
      <c r="A325" s="213" t="s">
        <v>162</v>
      </c>
      <c r="B325" s="214"/>
      <c r="C325" s="213" t="s">
        <v>1572</v>
      </c>
      <c r="D325" s="215"/>
      <c r="E325" s="102">
        <v>0</v>
      </c>
      <c r="F325" s="102">
        <v>0</v>
      </c>
      <c r="G325" s="102">
        <v>0</v>
      </c>
      <c r="H325" s="263">
        <v>0</v>
      </c>
      <c r="I325" s="263">
        <v>0</v>
      </c>
      <c r="J325" s="263">
        <v>0</v>
      </c>
      <c r="K325" s="263">
        <v>0</v>
      </c>
      <c r="L325" s="263">
        <v>0</v>
      </c>
      <c r="M325" s="263">
        <v>0</v>
      </c>
      <c r="N325" s="263">
        <v>0</v>
      </c>
      <c r="O325" s="263">
        <v>0</v>
      </c>
      <c r="P325" s="263">
        <v>0</v>
      </c>
      <c r="Q325" s="263">
        <v>0</v>
      </c>
      <c r="R325" s="263">
        <v>0</v>
      </c>
      <c r="S325" s="263">
        <v>0</v>
      </c>
      <c r="T325" s="102">
        <v>0</v>
      </c>
      <c r="U325" s="102">
        <v>0</v>
      </c>
      <c r="V325" s="102">
        <f t="shared" si="13"/>
        <v>0</v>
      </c>
      <c r="W325" s="213"/>
    </row>
    <row r="326" spans="1:23" ht="12.75" customHeight="1">
      <c r="A326" s="213" t="s">
        <v>163</v>
      </c>
      <c r="B326" s="214"/>
      <c r="C326" s="213" t="s">
        <v>164</v>
      </c>
      <c r="D326" s="215"/>
      <c r="E326" s="102">
        <v>0</v>
      </c>
      <c r="F326" s="102">
        <v>0</v>
      </c>
      <c r="G326" s="102">
        <v>0</v>
      </c>
      <c r="H326" s="263">
        <v>0</v>
      </c>
      <c r="I326" s="263">
        <v>0</v>
      </c>
      <c r="J326" s="263">
        <v>0</v>
      </c>
      <c r="K326" s="263">
        <v>0</v>
      </c>
      <c r="L326" s="263">
        <v>0</v>
      </c>
      <c r="M326" s="263">
        <v>0</v>
      </c>
      <c r="N326" s="263">
        <v>0</v>
      </c>
      <c r="O326" s="263">
        <v>0</v>
      </c>
      <c r="P326" s="263">
        <v>0</v>
      </c>
      <c r="Q326" s="263">
        <v>0</v>
      </c>
      <c r="R326" s="263">
        <v>0</v>
      </c>
      <c r="S326" s="263">
        <v>0</v>
      </c>
      <c r="T326" s="102">
        <v>0</v>
      </c>
      <c r="U326" s="102">
        <v>0</v>
      </c>
      <c r="V326" s="102">
        <f t="shared" si="13"/>
        <v>0</v>
      </c>
      <c r="W326" s="213"/>
    </row>
    <row r="327" spans="1:23" ht="12.75" customHeight="1">
      <c r="A327" s="213" t="s">
        <v>168</v>
      </c>
      <c r="B327" s="214"/>
      <c r="C327" s="213" t="s">
        <v>169</v>
      </c>
      <c r="D327" s="215"/>
      <c r="E327" s="102">
        <v>0</v>
      </c>
      <c r="F327" s="102">
        <v>0</v>
      </c>
      <c r="G327" s="102">
        <v>0</v>
      </c>
      <c r="H327" s="263">
        <v>0</v>
      </c>
      <c r="I327" s="263">
        <v>0</v>
      </c>
      <c r="J327" s="263">
        <v>0</v>
      </c>
      <c r="K327" s="263">
        <v>0</v>
      </c>
      <c r="L327" s="263">
        <v>0</v>
      </c>
      <c r="M327" s="263">
        <v>0</v>
      </c>
      <c r="N327" s="263">
        <v>0</v>
      </c>
      <c r="O327" s="263">
        <v>0</v>
      </c>
      <c r="P327" s="263">
        <v>0</v>
      </c>
      <c r="Q327" s="263">
        <v>0</v>
      </c>
      <c r="R327" s="263">
        <v>0</v>
      </c>
      <c r="S327" s="263">
        <v>0</v>
      </c>
      <c r="T327" s="102">
        <v>0</v>
      </c>
      <c r="U327" s="102">
        <v>0</v>
      </c>
      <c r="V327" s="102">
        <f t="shared" si="13"/>
        <v>0</v>
      </c>
      <c r="W327" s="213"/>
    </row>
    <row r="328" spans="2:22" ht="12.75" customHeight="1">
      <c r="B328" s="214"/>
      <c r="C328" s="213"/>
      <c r="D328" s="215"/>
      <c r="E328" s="102"/>
      <c r="F328" s="102"/>
      <c r="G328" s="10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102"/>
      <c r="U328" s="102"/>
      <c r="V328" s="102"/>
    </row>
    <row r="329" spans="1:23" s="266" customFormat="1" ht="12.75" customHeight="1">
      <c r="A329" s="218"/>
      <c r="B329" s="219"/>
      <c r="C329" s="220" t="s">
        <v>170</v>
      </c>
      <c r="D329" s="74"/>
      <c r="E329" s="104"/>
      <c r="F329" s="104"/>
      <c r="G329" s="10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104"/>
      <c r="U329" s="104"/>
      <c r="V329" s="104"/>
      <c r="W329" s="218"/>
    </row>
    <row r="330" spans="1:23" s="266" customFormat="1" ht="12.75" customHeight="1">
      <c r="A330" s="218" t="s">
        <v>1488</v>
      </c>
      <c r="B330" s="219"/>
      <c r="C330" s="220" t="s">
        <v>1575</v>
      </c>
      <c r="D330" s="74"/>
      <c r="E330" s="104">
        <f aca="true" t="shared" si="14" ref="E330:V330">E327+E325+E324+E323+E321+E326</f>
        <v>93816.97</v>
      </c>
      <c r="F330" s="104">
        <f t="shared" si="14"/>
        <v>0</v>
      </c>
      <c r="G330" s="104">
        <f t="shared" si="14"/>
        <v>1886.83</v>
      </c>
      <c r="H330" s="264">
        <f t="shared" si="14"/>
        <v>0</v>
      </c>
      <c r="I330" s="264">
        <f t="shared" si="14"/>
        <v>0</v>
      </c>
      <c r="J330" s="264">
        <f t="shared" si="14"/>
        <v>0</v>
      </c>
      <c r="K330" s="264">
        <f t="shared" si="14"/>
        <v>0</v>
      </c>
      <c r="L330" s="264">
        <f t="shared" si="14"/>
        <v>0</v>
      </c>
      <c r="M330" s="264">
        <f t="shared" si="14"/>
        <v>0</v>
      </c>
      <c r="N330" s="264">
        <f t="shared" si="14"/>
        <v>0</v>
      </c>
      <c r="O330" s="264">
        <f t="shared" si="14"/>
        <v>0</v>
      </c>
      <c r="P330" s="264">
        <f t="shared" si="14"/>
        <v>0</v>
      </c>
      <c r="Q330" s="264">
        <f t="shared" si="14"/>
        <v>0</v>
      </c>
      <c r="R330" s="264">
        <f t="shared" si="14"/>
        <v>0</v>
      </c>
      <c r="S330" s="264">
        <f t="shared" si="14"/>
        <v>0</v>
      </c>
      <c r="T330" s="104">
        <f t="shared" si="14"/>
        <v>0</v>
      </c>
      <c r="U330" s="104">
        <f t="shared" si="14"/>
        <v>0</v>
      </c>
      <c r="V330" s="104">
        <f t="shared" si="14"/>
        <v>95703.8</v>
      </c>
      <c r="W330" s="218"/>
    </row>
    <row r="331" spans="2:22" ht="12.75" customHeight="1">
      <c r="B331" s="214"/>
      <c r="C331" s="213"/>
      <c r="D331" s="215"/>
      <c r="E331" s="102"/>
      <c r="F331" s="102"/>
      <c r="G331" s="10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102"/>
      <c r="U331" s="102"/>
      <c r="V331" s="102"/>
    </row>
    <row r="332" spans="1:23" ht="12.75" customHeight="1">
      <c r="A332" s="213"/>
      <c r="B332" s="214"/>
      <c r="C332" s="213" t="s">
        <v>1576</v>
      </c>
      <c r="D332" s="215"/>
      <c r="E332" s="102">
        <v>0</v>
      </c>
      <c r="F332" s="102">
        <v>0</v>
      </c>
      <c r="G332" s="102">
        <v>0</v>
      </c>
      <c r="H332" s="263"/>
      <c r="I332" s="263"/>
      <c r="J332" s="263"/>
      <c r="K332" s="263"/>
      <c r="L332" s="263"/>
      <c r="M332" s="263"/>
      <c r="N332" s="263"/>
      <c r="O332" s="263"/>
      <c r="P332" s="263"/>
      <c r="Q332" s="263"/>
      <c r="R332" s="263"/>
      <c r="S332" s="263"/>
      <c r="T332" s="102">
        <v>0</v>
      </c>
      <c r="U332" s="102">
        <v>0</v>
      </c>
      <c r="V332" s="102">
        <f>E332+F332+G332+T332+U332</f>
        <v>0</v>
      </c>
      <c r="W332" s="213"/>
    </row>
    <row r="333" spans="1:23" ht="12.75" customHeight="1">
      <c r="A333" s="213"/>
      <c r="B333" s="214"/>
      <c r="C333" s="213" t="s">
        <v>171</v>
      </c>
      <c r="D333" s="215"/>
      <c r="E333" s="102">
        <v>0</v>
      </c>
      <c r="F333" s="102">
        <v>0</v>
      </c>
      <c r="G333" s="102">
        <v>0</v>
      </c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102">
        <v>0</v>
      </c>
      <c r="U333" s="102">
        <v>0</v>
      </c>
      <c r="V333" s="102">
        <f>E333+F333+G333+T333+U333</f>
        <v>0</v>
      </c>
      <c r="W333" s="213"/>
    </row>
    <row r="334" spans="1:23" ht="12.75" customHeight="1">
      <c r="A334" s="225"/>
      <c r="B334" s="214"/>
      <c r="C334" s="213" t="s">
        <v>172</v>
      </c>
      <c r="D334" s="215"/>
      <c r="E334" s="102">
        <v>0</v>
      </c>
      <c r="F334" s="102">
        <v>0</v>
      </c>
      <c r="G334" s="102">
        <v>0</v>
      </c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102">
        <v>0</v>
      </c>
      <c r="U334" s="102">
        <v>0</v>
      </c>
      <c r="V334" s="102">
        <f>E334+F334+G334+T334+U334</f>
        <v>0</v>
      </c>
      <c r="W334" s="225"/>
    </row>
    <row r="335" spans="1:23" ht="12.75" customHeight="1">
      <c r="A335" s="225" t="s">
        <v>1486</v>
      </c>
      <c r="B335" s="214"/>
      <c r="C335" s="213" t="s">
        <v>1578</v>
      </c>
      <c r="D335" s="215"/>
      <c r="E335" s="102">
        <v>0</v>
      </c>
      <c r="F335" s="102">
        <v>0</v>
      </c>
      <c r="G335" s="102">
        <v>0</v>
      </c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102">
        <v>0</v>
      </c>
      <c r="U335" s="102">
        <v>0</v>
      </c>
      <c r="V335" s="102">
        <f>E335+F335+G335+T335+U335</f>
        <v>0</v>
      </c>
      <c r="W335" s="225"/>
    </row>
    <row r="336" spans="1:23" s="250" customFormat="1" ht="12.75" customHeight="1">
      <c r="A336" s="197"/>
      <c r="B336" s="219"/>
      <c r="C336" s="220"/>
      <c r="D336" s="74"/>
      <c r="E336" s="104"/>
      <c r="F336" s="104"/>
      <c r="G336" s="104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104"/>
      <c r="U336" s="104"/>
      <c r="V336" s="104"/>
      <c r="W336" s="197"/>
    </row>
    <row r="337" spans="1:23" s="250" customFormat="1" ht="12.75" customHeight="1">
      <c r="A337" s="197"/>
      <c r="B337" s="219"/>
      <c r="C337" s="212" t="s">
        <v>498</v>
      </c>
      <c r="D337" s="74"/>
      <c r="E337" s="104"/>
      <c r="F337" s="104"/>
      <c r="G337" s="104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104"/>
      <c r="U337" s="104"/>
      <c r="V337" s="104"/>
      <c r="W337" s="197"/>
    </row>
    <row r="338" spans="1:23" s="266" customFormat="1" ht="12.75" customHeight="1">
      <c r="A338" s="218" t="s">
        <v>1488</v>
      </c>
      <c r="B338" s="219"/>
      <c r="C338" s="212" t="s">
        <v>499</v>
      </c>
      <c r="D338" s="65"/>
      <c r="E338" s="104">
        <f aca="true" t="shared" si="15" ref="E338:V338">E330+E332+E333+E334+E335</f>
        <v>93816.97</v>
      </c>
      <c r="F338" s="104">
        <f t="shared" si="15"/>
        <v>0</v>
      </c>
      <c r="G338" s="104">
        <f t="shared" si="15"/>
        <v>1886.83</v>
      </c>
      <c r="H338" s="264">
        <f t="shared" si="15"/>
        <v>0</v>
      </c>
      <c r="I338" s="264">
        <f t="shared" si="15"/>
        <v>0</v>
      </c>
      <c r="J338" s="264">
        <f t="shared" si="15"/>
        <v>0</v>
      </c>
      <c r="K338" s="264">
        <f t="shared" si="15"/>
        <v>0</v>
      </c>
      <c r="L338" s="264">
        <f t="shared" si="15"/>
        <v>0</v>
      </c>
      <c r="M338" s="264">
        <f t="shared" si="15"/>
        <v>0</v>
      </c>
      <c r="N338" s="264">
        <f t="shared" si="15"/>
        <v>0</v>
      </c>
      <c r="O338" s="264">
        <f t="shared" si="15"/>
        <v>0</v>
      </c>
      <c r="P338" s="264">
        <f t="shared" si="15"/>
        <v>0</v>
      </c>
      <c r="Q338" s="264">
        <f t="shared" si="15"/>
        <v>0</v>
      </c>
      <c r="R338" s="264">
        <f t="shared" si="15"/>
        <v>0</v>
      </c>
      <c r="S338" s="264">
        <f t="shared" si="15"/>
        <v>0</v>
      </c>
      <c r="T338" s="104">
        <f t="shared" si="15"/>
        <v>0</v>
      </c>
      <c r="U338" s="104">
        <f t="shared" si="15"/>
        <v>0</v>
      </c>
      <c r="V338" s="104">
        <f t="shared" si="15"/>
        <v>95703.8</v>
      </c>
      <c r="W338" s="218"/>
    </row>
    <row r="339" spans="1:23" ht="12.75" customHeight="1">
      <c r="A339" s="211"/>
      <c r="B339" s="214"/>
      <c r="C339" s="213"/>
      <c r="D339" s="215"/>
      <c r="E339" s="102"/>
      <c r="F339" s="102"/>
      <c r="G339" s="102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102"/>
      <c r="U339" s="102"/>
      <c r="V339" s="102"/>
      <c r="W339" s="211"/>
    </row>
    <row r="340" spans="1:23" s="232" customFormat="1" ht="12.75" hidden="1" outlineLevel="1">
      <c r="A340" s="230" t="s">
        <v>174</v>
      </c>
      <c r="B340" s="231"/>
      <c r="C340" s="231" t="s">
        <v>175</v>
      </c>
      <c r="D340" s="231" t="s">
        <v>176</v>
      </c>
      <c r="E340" s="256">
        <v>117</v>
      </c>
      <c r="F340" s="256">
        <v>0</v>
      </c>
      <c r="G340" s="256"/>
      <c r="H340" s="257">
        <v>0</v>
      </c>
      <c r="I340" s="257">
        <v>0</v>
      </c>
      <c r="J340" s="257">
        <v>0</v>
      </c>
      <c r="K340" s="257">
        <v>0</v>
      </c>
      <c r="L340" s="257">
        <v>0</v>
      </c>
      <c r="M340" s="257">
        <v>0</v>
      </c>
      <c r="N340" s="257">
        <v>0</v>
      </c>
      <c r="O340" s="257">
        <v>0</v>
      </c>
      <c r="P340" s="257">
        <v>0</v>
      </c>
      <c r="Q340" s="257">
        <v>0</v>
      </c>
      <c r="R340" s="257">
        <v>0</v>
      </c>
      <c r="S340" s="257">
        <v>0</v>
      </c>
      <c r="T340" s="256">
        <v>0</v>
      </c>
      <c r="U340" s="256">
        <v>0</v>
      </c>
      <c r="V340" s="256">
        <f aca="true" t="shared" si="16" ref="V340:V355">E340+F340+G340+T340+U340</f>
        <v>117</v>
      </c>
      <c r="W340" s="230"/>
    </row>
    <row r="341" spans="1:23" s="232" customFormat="1" ht="12.75" hidden="1" outlineLevel="1">
      <c r="A341" s="230" t="s">
        <v>189</v>
      </c>
      <c r="B341" s="231"/>
      <c r="C341" s="231" t="s">
        <v>190</v>
      </c>
      <c r="D341" s="231" t="s">
        <v>191</v>
      </c>
      <c r="E341" s="256">
        <v>-14842</v>
      </c>
      <c r="F341" s="256">
        <v>0</v>
      </c>
      <c r="G341" s="256"/>
      <c r="H341" s="257">
        <v>0</v>
      </c>
      <c r="I341" s="257">
        <v>0</v>
      </c>
      <c r="J341" s="257">
        <v>0</v>
      </c>
      <c r="K341" s="257">
        <v>0</v>
      </c>
      <c r="L341" s="257">
        <v>0</v>
      </c>
      <c r="M341" s="257">
        <v>0</v>
      </c>
      <c r="N341" s="257">
        <v>0</v>
      </c>
      <c r="O341" s="257">
        <v>0</v>
      </c>
      <c r="P341" s="257">
        <v>0</v>
      </c>
      <c r="Q341" s="257">
        <v>0</v>
      </c>
      <c r="R341" s="257">
        <v>0</v>
      </c>
      <c r="S341" s="257">
        <v>0</v>
      </c>
      <c r="T341" s="256">
        <v>0</v>
      </c>
      <c r="U341" s="256">
        <v>0</v>
      </c>
      <c r="V341" s="256">
        <f t="shared" si="16"/>
        <v>-14842</v>
      </c>
      <c r="W341" s="230"/>
    </row>
    <row r="342" spans="1:23" ht="12.75" customHeight="1" collapsed="1">
      <c r="A342" s="213" t="s">
        <v>192</v>
      </c>
      <c r="B342" s="214"/>
      <c r="C342" s="213" t="s">
        <v>1579</v>
      </c>
      <c r="D342" s="215"/>
      <c r="E342" s="102">
        <v>-14725</v>
      </c>
      <c r="F342" s="102">
        <v>0</v>
      </c>
      <c r="G342" s="102">
        <v>-3973871</v>
      </c>
      <c r="H342" s="263">
        <v>0</v>
      </c>
      <c r="I342" s="263">
        <v>0</v>
      </c>
      <c r="J342" s="263">
        <v>0</v>
      </c>
      <c r="K342" s="263">
        <v>0</v>
      </c>
      <c r="L342" s="263">
        <v>0</v>
      </c>
      <c r="M342" s="263">
        <v>0</v>
      </c>
      <c r="N342" s="263">
        <v>0</v>
      </c>
      <c r="O342" s="263">
        <v>0</v>
      </c>
      <c r="P342" s="263">
        <v>0</v>
      </c>
      <c r="Q342" s="263">
        <v>0</v>
      </c>
      <c r="R342" s="263">
        <v>0</v>
      </c>
      <c r="S342" s="263">
        <v>0</v>
      </c>
      <c r="T342" s="102">
        <v>0</v>
      </c>
      <c r="U342" s="102">
        <v>0</v>
      </c>
      <c r="V342" s="102">
        <f t="shared" si="16"/>
        <v>-3988596</v>
      </c>
      <c r="W342" s="213"/>
    </row>
    <row r="343" spans="1:23" s="232" customFormat="1" ht="12.75" hidden="1" outlineLevel="1">
      <c r="A343" s="230" t="s">
        <v>202</v>
      </c>
      <c r="B343" s="231"/>
      <c r="C343" s="231" t="s">
        <v>203</v>
      </c>
      <c r="D343" s="231" t="s">
        <v>204</v>
      </c>
      <c r="E343" s="256">
        <v>13.34</v>
      </c>
      <c r="F343" s="256">
        <v>0</v>
      </c>
      <c r="G343" s="256"/>
      <c r="H343" s="257">
        <v>0</v>
      </c>
      <c r="I343" s="257">
        <v>0</v>
      </c>
      <c r="J343" s="257">
        <v>0</v>
      </c>
      <c r="K343" s="257">
        <v>0</v>
      </c>
      <c r="L343" s="257">
        <v>0</v>
      </c>
      <c r="M343" s="257">
        <v>0</v>
      </c>
      <c r="N343" s="257">
        <v>0</v>
      </c>
      <c r="O343" s="257">
        <v>0</v>
      </c>
      <c r="P343" s="257">
        <v>0</v>
      </c>
      <c r="Q343" s="257">
        <v>0</v>
      </c>
      <c r="R343" s="257">
        <v>0</v>
      </c>
      <c r="S343" s="257">
        <v>0</v>
      </c>
      <c r="T343" s="256">
        <v>0</v>
      </c>
      <c r="U343" s="256">
        <v>0</v>
      </c>
      <c r="V343" s="256">
        <f t="shared" si="16"/>
        <v>13.34</v>
      </c>
      <c r="W343" s="230"/>
    </row>
    <row r="344" spans="1:23" s="232" customFormat="1" ht="12.75" hidden="1" outlineLevel="1">
      <c r="A344" s="230" t="s">
        <v>208</v>
      </c>
      <c r="B344" s="231"/>
      <c r="C344" s="231" t="s">
        <v>209</v>
      </c>
      <c r="D344" s="231" t="s">
        <v>210</v>
      </c>
      <c r="E344" s="256">
        <v>-49397.28</v>
      </c>
      <c r="F344" s="256">
        <v>0</v>
      </c>
      <c r="G344" s="256"/>
      <c r="H344" s="257">
        <v>0</v>
      </c>
      <c r="I344" s="257">
        <v>0</v>
      </c>
      <c r="J344" s="257">
        <v>0</v>
      </c>
      <c r="K344" s="257">
        <v>0</v>
      </c>
      <c r="L344" s="257">
        <v>0</v>
      </c>
      <c r="M344" s="257">
        <v>0</v>
      </c>
      <c r="N344" s="257">
        <v>0</v>
      </c>
      <c r="O344" s="257">
        <v>0</v>
      </c>
      <c r="P344" s="257">
        <v>-198205.5</v>
      </c>
      <c r="Q344" s="257">
        <v>0</v>
      </c>
      <c r="R344" s="257">
        <v>0</v>
      </c>
      <c r="S344" s="257">
        <v>-23472.24</v>
      </c>
      <c r="T344" s="256">
        <v>-221677.74</v>
      </c>
      <c r="U344" s="256">
        <v>0</v>
      </c>
      <c r="V344" s="256">
        <f t="shared" si="16"/>
        <v>-271075.02</v>
      </c>
      <c r="W344" s="230"/>
    </row>
    <row r="345" spans="1:23" s="232" customFormat="1" ht="12.75" hidden="1" outlineLevel="1">
      <c r="A345" s="230" t="s">
        <v>1353</v>
      </c>
      <c r="B345" s="231"/>
      <c r="C345" s="231" t="s">
        <v>1354</v>
      </c>
      <c r="D345" s="231" t="s">
        <v>1355</v>
      </c>
      <c r="E345" s="256">
        <v>-2072500</v>
      </c>
      <c r="F345" s="256">
        <v>0</v>
      </c>
      <c r="G345" s="256"/>
      <c r="H345" s="257">
        <v>0</v>
      </c>
      <c r="I345" s="257">
        <v>0</v>
      </c>
      <c r="J345" s="257">
        <v>0</v>
      </c>
      <c r="K345" s="257">
        <v>0</v>
      </c>
      <c r="L345" s="257">
        <v>0</v>
      </c>
      <c r="M345" s="257">
        <v>0</v>
      </c>
      <c r="N345" s="257">
        <v>0</v>
      </c>
      <c r="O345" s="257">
        <v>0</v>
      </c>
      <c r="P345" s="257">
        <v>0</v>
      </c>
      <c r="Q345" s="257">
        <v>0</v>
      </c>
      <c r="R345" s="257">
        <v>0</v>
      </c>
      <c r="S345" s="257">
        <v>0</v>
      </c>
      <c r="T345" s="256">
        <v>0</v>
      </c>
      <c r="U345" s="256">
        <v>0</v>
      </c>
      <c r="V345" s="256">
        <f t="shared" si="16"/>
        <v>-2072500</v>
      </c>
      <c r="W345" s="230"/>
    </row>
    <row r="346" spans="1:23" ht="12.75" customHeight="1" collapsed="1">
      <c r="A346" s="213" t="s">
        <v>1356</v>
      </c>
      <c r="B346" s="214"/>
      <c r="C346" s="213" t="s">
        <v>1580</v>
      </c>
      <c r="D346" s="215"/>
      <c r="E346" s="102">
        <v>-2121883.94</v>
      </c>
      <c r="F346" s="102">
        <v>0</v>
      </c>
      <c r="G346" s="102">
        <v>-3058035.13</v>
      </c>
      <c r="H346" s="263">
        <v>0</v>
      </c>
      <c r="I346" s="263">
        <v>0</v>
      </c>
      <c r="J346" s="263">
        <v>0</v>
      </c>
      <c r="K346" s="263">
        <v>0</v>
      </c>
      <c r="L346" s="263">
        <v>0</v>
      </c>
      <c r="M346" s="263">
        <v>0</v>
      </c>
      <c r="N346" s="263">
        <v>0</v>
      </c>
      <c r="O346" s="263">
        <v>0</v>
      </c>
      <c r="P346" s="263">
        <v>-198205.5</v>
      </c>
      <c r="Q346" s="263">
        <v>0</v>
      </c>
      <c r="R346" s="263">
        <v>0</v>
      </c>
      <c r="S346" s="263">
        <v>-23472.24</v>
      </c>
      <c r="T346" s="102">
        <v>-221677.74</v>
      </c>
      <c r="U346" s="102">
        <v>0</v>
      </c>
      <c r="V346" s="102">
        <f t="shared" si="16"/>
        <v>-5401596.8100000005</v>
      </c>
      <c r="W346" s="213"/>
    </row>
    <row r="347" spans="1:23" s="232" customFormat="1" ht="12.75" hidden="1" outlineLevel="1">
      <c r="A347" s="230" t="s">
        <v>1357</v>
      </c>
      <c r="B347" s="231"/>
      <c r="C347" s="231" t="s">
        <v>1358</v>
      </c>
      <c r="D347" s="231" t="s">
        <v>1359</v>
      </c>
      <c r="E347" s="256">
        <v>893808.5</v>
      </c>
      <c r="F347" s="256">
        <v>0</v>
      </c>
      <c r="G347" s="256"/>
      <c r="H347" s="257">
        <v>0</v>
      </c>
      <c r="I347" s="257">
        <v>0</v>
      </c>
      <c r="J347" s="257">
        <v>0</v>
      </c>
      <c r="K347" s="257">
        <v>0</v>
      </c>
      <c r="L347" s="257">
        <v>0</v>
      </c>
      <c r="M347" s="257">
        <v>0</v>
      </c>
      <c r="N347" s="257">
        <v>0</v>
      </c>
      <c r="O347" s="257">
        <v>0</v>
      </c>
      <c r="P347" s="257">
        <v>0</v>
      </c>
      <c r="Q347" s="257">
        <v>0</v>
      </c>
      <c r="R347" s="257">
        <v>0</v>
      </c>
      <c r="S347" s="257">
        <v>0</v>
      </c>
      <c r="T347" s="256">
        <v>0</v>
      </c>
      <c r="U347" s="256">
        <v>0</v>
      </c>
      <c r="V347" s="256">
        <f t="shared" si="16"/>
        <v>893808.5</v>
      </c>
      <c r="W347" s="230"/>
    </row>
    <row r="348" spans="1:23" s="232" customFormat="1" ht="12.75" hidden="1" outlineLevel="1">
      <c r="A348" s="230" t="s">
        <v>1360</v>
      </c>
      <c r="B348" s="231"/>
      <c r="C348" s="231" t="s">
        <v>1361</v>
      </c>
      <c r="D348" s="231" t="s">
        <v>1362</v>
      </c>
      <c r="E348" s="256">
        <v>28595629.65</v>
      </c>
      <c r="F348" s="256">
        <v>10950.53</v>
      </c>
      <c r="G348" s="256"/>
      <c r="H348" s="257">
        <v>0</v>
      </c>
      <c r="I348" s="257">
        <v>14272.91</v>
      </c>
      <c r="J348" s="257">
        <v>205890</v>
      </c>
      <c r="K348" s="257">
        <v>0</v>
      </c>
      <c r="L348" s="257">
        <v>90000</v>
      </c>
      <c r="M348" s="257">
        <v>0</v>
      </c>
      <c r="N348" s="257">
        <v>6929.92</v>
      </c>
      <c r="O348" s="257">
        <v>0</v>
      </c>
      <c r="P348" s="257">
        <v>0</v>
      </c>
      <c r="Q348" s="257">
        <v>13623</v>
      </c>
      <c r="R348" s="257">
        <v>0</v>
      </c>
      <c r="S348" s="257">
        <v>94186.34</v>
      </c>
      <c r="T348" s="256">
        <v>424902.17</v>
      </c>
      <c r="U348" s="256">
        <v>0</v>
      </c>
      <c r="V348" s="256">
        <f t="shared" si="16"/>
        <v>29031482.35</v>
      </c>
      <c r="W348" s="230"/>
    </row>
    <row r="349" spans="1:23" s="232" customFormat="1" ht="12.75" hidden="1" outlineLevel="1">
      <c r="A349" s="230" t="s">
        <v>1363</v>
      </c>
      <c r="B349" s="231"/>
      <c r="C349" s="231" t="s">
        <v>1364</v>
      </c>
      <c r="D349" s="231" t="s">
        <v>1365</v>
      </c>
      <c r="E349" s="256">
        <v>-19178359.25</v>
      </c>
      <c r="F349" s="256">
        <v>-636683.21</v>
      </c>
      <c r="G349" s="256"/>
      <c r="H349" s="257">
        <v>0</v>
      </c>
      <c r="I349" s="257">
        <v>0</v>
      </c>
      <c r="J349" s="257">
        <v>0</v>
      </c>
      <c r="K349" s="257">
        <v>0</v>
      </c>
      <c r="L349" s="257">
        <v>0</v>
      </c>
      <c r="M349" s="257">
        <v>0</v>
      </c>
      <c r="N349" s="257">
        <v>0</v>
      </c>
      <c r="O349" s="257">
        <v>0</v>
      </c>
      <c r="P349" s="257">
        <v>-49048</v>
      </c>
      <c r="Q349" s="257">
        <v>0</v>
      </c>
      <c r="R349" s="257">
        <v>0</v>
      </c>
      <c r="S349" s="257">
        <v>0</v>
      </c>
      <c r="T349" s="256">
        <v>-49048</v>
      </c>
      <c r="U349" s="256">
        <v>0</v>
      </c>
      <c r="V349" s="256">
        <f t="shared" si="16"/>
        <v>-19864090.46</v>
      </c>
      <c r="W349" s="230"/>
    </row>
    <row r="350" spans="1:23" s="232" customFormat="1" ht="12.75" hidden="1" outlineLevel="1">
      <c r="A350" s="230" t="s">
        <v>1366</v>
      </c>
      <c r="B350" s="231"/>
      <c r="C350" s="231" t="s">
        <v>1367</v>
      </c>
      <c r="D350" s="231" t="s">
        <v>1368</v>
      </c>
      <c r="E350" s="256">
        <v>-41220.31</v>
      </c>
      <c r="F350" s="256">
        <v>0</v>
      </c>
      <c r="G350" s="256"/>
      <c r="H350" s="257">
        <v>0</v>
      </c>
      <c r="I350" s="257">
        <v>0</v>
      </c>
      <c r="J350" s="257">
        <v>0</v>
      </c>
      <c r="K350" s="257">
        <v>0</v>
      </c>
      <c r="L350" s="257">
        <v>0</v>
      </c>
      <c r="M350" s="257">
        <v>0</v>
      </c>
      <c r="N350" s="257">
        <v>0</v>
      </c>
      <c r="O350" s="257">
        <v>0</v>
      </c>
      <c r="P350" s="257">
        <v>0</v>
      </c>
      <c r="Q350" s="257">
        <v>0</v>
      </c>
      <c r="R350" s="257">
        <v>0</v>
      </c>
      <c r="S350" s="257">
        <v>0</v>
      </c>
      <c r="T350" s="256">
        <v>0</v>
      </c>
      <c r="U350" s="256">
        <v>0</v>
      </c>
      <c r="V350" s="256">
        <f t="shared" si="16"/>
        <v>-41220.31</v>
      </c>
      <c r="W350" s="230"/>
    </row>
    <row r="351" spans="1:23" s="232" customFormat="1" ht="12.75" hidden="1" outlineLevel="1">
      <c r="A351" s="230" t="s">
        <v>1369</v>
      </c>
      <c r="B351" s="231"/>
      <c r="C351" s="231" t="s">
        <v>1370</v>
      </c>
      <c r="D351" s="231" t="s">
        <v>1371</v>
      </c>
      <c r="E351" s="256">
        <v>-256350</v>
      </c>
      <c r="F351" s="256">
        <v>0</v>
      </c>
      <c r="G351" s="256"/>
      <c r="H351" s="257">
        <v>0</v>
      </c>
      <c r="I351" s="257">
        <v>0</v>
      </c>
      <c r="J351" s="257">
        <v>0</v>
      </c>
      <c r="K351" s="257">
        <v>0</v>
      </c>
      <c r="L351" s="257">
        <v>0</v>
      </c>
      <c r="M351" s="257">
        <v>0</v>
      </c>
      <c r="N351" s="257">
        <v>0</v>
      </c>
      <c r="O351" s="257">
        <v>0</v>
      </c>
      <c r="P351" s="257">
        <v>0</v>
      </c>
      <c r="Q351" s="257">
        <v>0</v>
      </c>
      <c r="R351" s="257">
        <v>0</v>
      </c>
      <c r="S351" s="257">
        <v>0</v>
      </c>
      <c r="T351" s="256">
        <v>0</v>
      </c>
      <c r="U351" s="256">
        <v>0</v>
      </c>
      <c r="V351" s="256">
        <f t="shared" si="16"/>
        <v>-256350</v>
      </c>
      <c r="W351" s="230"/>
    </row>
    <row r="352" spans="1:23" s="232" customFormat="1" ht="12.75" hidden="1" outlineLevel="1">
      <c r="A352" s="230" t="s">
        <v>1375</v>
      </c>
      <c r="B352" s="231"/>
      <c r="C352" s="231" t="s">
        <v>1376</v>
      </c>
      <c r="D352" s="231" t="s">
        <v>1377</v>
      </c>
      <c r="E352" s="256">
        <v>-9711707.51</v>
      </c>
      <c r="F352" s="256">
        <v>0</v>
      </c>
      <c r="G352" s="256"/>
      <c r="H352" s="257">
        <v>0</v>
      </c>
      <c r="I352" s="257">
        <v>-2937.3</v>
      </c>
      <c r="J352" s="257">
        <v>0</v>
      </c>
      <c r="K352" s="257">
        <v>0</v>
      </c>
      <c r="L352" s="257">
        <v>-19200</v>
      </c>
      <c r="M352" s="257">
        <v>0</v>
      </c>
      <c r="N352" s="257">
        <v>0</v>
      </c>
      <c r="O352" s="257">
        <v>0</v>
      </c>
      <c r="P352" s="257">
        <v>-9237.36</v>
      </c>
      <c r="Q352" s="257">
        <v>0</v>
      </c>
      <c r="R352" s="257">
        <v>0</v>
      </c>
      <c r="S352" s="257">
        <v>-5694.6</v>
      </c>
      <c r="T352" s="256">
        <v>-37069.26</v>
      </c>
      <c r="U352" s="256">
        <v>0</v>
      </c>
      <c r="V352" s="256">
        <f t="shared" si="16"/>
        <v>-9748776.77</v>
      </c>
      <c r="W352" s="230"/>
    </row>
    <row r="353" spans="1:23" s="232" customFormat="1" ht="12.75" hidden="1" outlineLevel="1">
      <c r="A353" s="230" t="s">
        <v>1378</v>
      </c>
      <c r="B353" s="231"/>
      <c r="C353" s="231" t="s">
        <v>1379</v>
      </c>
      <c r="D353" s="231" t="s">
        <v>1380</v>
      </c>
      <c r="E353" s="256">
        <v>0</v>
      </c>
      <c r="F353" s="256">
        <v>-7672.78</v>
      </c>
      <c r="G353" s="256"/>
      <c r="H353" s="257">
        <v>0</v>
      </c>
      <c r="I353" s="257">
        <v>0</v>
      </c>
      <c r="J353" s="257">
        <v>0</v>
      </c>
      <c r="K353" s="257">
        <v>0</v>
      </c>
      <c r="L353" s="257">
        <v>0</v>
      </c>
      <c r="M353" s="257">
        <v>0</v>
      </c>
      <c r="N353" s="257">
        <v>0</v>
      </c>
      <c r="O353" s="257">
        <v>0</v>
      </c>
      <c r="P353" s="257">
        <v>0</v>
      </c>
      <c r="Q353" s="257">
        <v>0</v>
      </c>
      <c r="R353" s="257">
        <v>0</v>
      </c>
      <c r="S353" s="257">
        <v>0</v>
      </c>
      <c r="T353" s="256">
        <v>0</v>
      </c>
      <c r="U353" s="256">
        <v>0</v>
      </c>
      <c r="V353" s="256">
        <f t="shared" si="16"/>
        <v>-7672.78</v>
      </c>
      <c r="W353" s="230"/>
    </row>
    <row r="354" spans="1:23" ht="12.75" customHeight="1" collapsed="1">
      <c r="A354" s="173" t="s">
        <v>1381</v>
      </c>
      <c r="B354" s="214"/>
      <c r="C354" s="213" t="s">
        <v>1581</v>
      </c>
      <c r="D354" s="215"/>
      <c r="E354" s="102">
        <v>301801.0799999982</v>
      </c>
      <c r="F354" s="102">
        <v>-633405.46</v>
      </c>
      <c r="G354" s="102">
        <v>289004.33</v>
      </c>
      <c r="H354" s="221">
        <v>0</v>
      </c>
      <c r="I354" s="221">
        <v>11335.61</v>
      </c>
      <c r="J354" s="221">
        <v>205890</v>
      </c>
      <c r="K354" s="221">
        <v>0</v>
      </c>
      <c r="L354" s="221">
        <v>70800</v>
      </c>
      <c r="M354" s="221">
        <v>0</v>
      </c>
      <c r="N354" s="221">
        <v>6929.92</v>
      </c>
      <c r="O354" s="221">
        <v>0</v>
      </c>
      <c r="P354" s="221">
        <v>-58285.36</v>
      </c>
      <c r="Q354" s="221">
        <v>13623</v>
      </c>
      <c r="R354" s="221">
        <v>0</v>
      </c>
      <c r="S354" s="221">
        <v>88491.74</v>
      </c>
      <c r="T354" s="102">
        <v>338784.91</v>
      </c>
      <c r="U354" s="102">
        <v>0</v>
      </c>
      <c r="V354" s="102">
        <f t="shared" si="16"/>
        <v>296184.85999999824</v>
      </c>
      <c r="W354" s="173"/>
    </row>
    <row r="355" spans="1:23" ht="12.75" customHeight="1">
      <c r="A355" s="173" t="s">
        <v>1382</v>
      </c>
      <c r="B355" s="214"/>
      <c r="C355" s="213" t="s">
        <v>1383</v>
      </c>
      <c r="D355" s="215"/>
      <c r="E355" s="102">
        <v>0</v>
      </c>
      <c r="F355" s="102">
        <v>0</v>
      </c>
      <c r="G355" s="102">
        <v>0</v>
      </c>
      <c r="H355" s="221">
        <v>0</v>
      </c>
      <c r="I355" s="221">
        <v>0</v>
      </c>
      <c r="J355" s="221">
        <v>0</v>
      </c>
      <c r="K355" s="221">
        <v>0</v>
      </c>
      <c r="L355" s="221">
        <v>0</v>
      </c>
      <c r="M355" s="221">
        <v>0</v>
      </c>
      <c r="N355" s="221">
        <v>0</v>
      </c>
      <c r="O355" s="221">
        <v>0</v>
      </c>
      <c r="P355" s="221">
        <v>0</v>
      </c>
      <c r="Q355" s="221">
        <v>0</v>
      </c>
      <c r="R355" s="221">
        <v>0</v>
      </c>
      <c r="S355" s="221">
        <v>0</v>
      </c>
      <c r="T355" s="102">
        <v>0</v>
      </c>
      <c r="U355" s="102">
        <v>0</v>
      </c>
      <c r="V355" s="102">
        <f t="shared" si="16"/>
        <v>0</v>
      </c>
      <c r="W355" s="173"/>
    </row>
    <row r="356" spans="1:23" ht="12.75" customHeight="1">
      <c r="A356" s="211"/>
      <c r="B356" s="214"/>
      <c r="C356" s="213"/>
      <c r="D356" s="215"/>
      <c r="E356" s="102"/>
      <c r="F356" s="102"/>
      <c r="G356" s="102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102"/>
      <c r="U356" s="102"/>
      <c r="V356" s="102"/>
      <c r="W356" s="211"/>
    </row>
    <row r="357" spans="1:23" s="266" customFormat="1" ht="12.75" customHeight="1">
      <c r="A357" s="218"/>
      <c r="B357" s="219"/>
      <c r="C357" s="220" t="s">
        <v>500</v>
      </c>
      <c r="D357" s="74"/>
      <c r="E357" s="104"/>
      <c r="F357" s="104"/>
      <c r="G357" s="10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104"/>
      <c r="U357" s="104"/>
      <c r="V357" s="104"/>
      <c r="W357" s="218"/>
    </row>
    <row r="358" spans="1:23" s="266" customFormat="1" ht="12.75" customHeight="1">
      <c r="A358" s="218" t="s">
        <v>1488</v>
      </c>
      <c r="B358" s="219"/>
      <c r="C358" s="220" t="s">
        <v>501</v>
      </c>
      <c r="D358" s="74"/>
      <c r="E358" s="104">
        <f aca="true" t="shared" si="17" ref="E358:V358">E342+E346+E354+E355+E338</f>
        <v>-1740990.8900000018</v>
      </c>
      <c r="F358" s="104">
        <f t="shared" si="17"/>
        <v>-633405.46</v>
      </c>
      <c r="G358" s="104">
        <f t="shared" si="17"/>
        <v>-6741014.97</v>
      </c>
      <c r="H358" s="264">
        <f t="shared" si="17"/>
        <v>0</v>
      </c>
      <c r="I358" s="264">
        <f t="shared" si="17"/>
        <v>11335.61</v>
      </c>
      <c r="J358" s="264">
        <f t="shared" si="17"/>
        <v>205890</v>
      </c>
      <c r="K358" s="264">
        <f t="shared" si="17"/>
        <v>0</v>
      </c>
      <c r="L358" s="264">
        <f t="shared" si="17"/>
        <v>70800</v>
      </c>
      <c r="M358" s="264">
        <f t="shared" si="17"/>
        <v>0</v>
      </c>
      <c r="N358" s="264">
        <f t="shared" si="17"/>
        <v>6929.92</v>
      </c>
      <c r="O358" s="264">
        <f t="shared" si="17"/>
        <v>0</v>
      </c>
      <c r="P358" s="264">
        <f t="shared" si="17"/>
        <v>-256490.86</v>
      </c>
      <c r="Q358" s="264">
        <f t="shared" si="17"/>
        <v>13623</v>
      </c>
      <c r="R358" s="264">
        <f t="shared" si="17"/>
        <v>0</v>
      </c>
      <c r="S358" s="264">
        <f t="shared" si="17"/>
        <v>65019.5</v>
      </c>
      <c r="T358" s="104">
        <f t="shared" si="17"/>
        <v>117107.16999999998</v>
      </c>
      <c r="U358" s="104">
        <f t="shared" si="17"/>
        <v>0</v>
      </c>
      <c r="V358" s="104">
        <f t="shared" si="17"/>
        <v>-8998304.150000002</v>
      </c>
      <c r="W358" s="218"/>
    </row>
    <row r="359" spans="1:23" ht="12.75" customHeight="1">
      <c r="A359" s="211"/>
      <c r="B359" s="214"/>
      <c r="C359" s="220"/>
      <c r="D359" s="215"/>
      <c r="E359" s="102"/>
      <c r="F359" s="102"/>
      <c r="G359" s="102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102"/>
      <c r="U359" s="102"/>
      <c r="V359" s="102"/>
      <c r="W359" s="211"/>
    </row>
    <row r="360" spans="1:23" ht="12.75" customHeight="1">
      <c r="A360" s="223" t="s">
        <v>1488</v>
      </c>
      <c r="B360" s="219"/>
      <c r="C360" s="220" t="s">
        <v>1385</v>
      </c>
      <c r="D360" s="74"/>
      <c r="E360" s="104">
        <f aca="true" t="shared" si="18" ref="E360:V360">E318+E358</f>
        <v>-1275746.059999996</v>
      </c>
      <c r="F360" s="104">
        <f t="shared" si="18"/>
        <v>553699.1500000004</v>
      </c>
      <c r="G360" s="104">
        <f t="shared" si="18"/>
        <v>-1859951.4399999985</v>
      </c>
      <c r="H360" s="269">
        <f t="shared" si="18"/>
        <v>1002.8499999999985</v>
      </c>
      <c r="I360" s="269">
        <f t="shared" si="18"/>
        <v>-188496.92000000004</v>
      </c>
      <c r="J360" s="269">
        <f t="shared" si="18"/>
        <v>75285.13999999998</v>
      </c>
      <c r="K360" s="269">
        <f t="shared" si="18"/>
        <v>-48.159999999999854</v>
      </c>
      <c r="L360" s="269">
        <f t="shared" si="18"/>
        <v>47591.63999999984</v>
      </c>
      <c r="M360" s="269">
        <f t="shared" si="18"/>
        <v>14409.010000000057</v>
      </c>
      <c r="N360" s="269">
        <f t="shared" si="18"/>
        <v>-15699.300000000001</v>
      </c>
      <c r="O360" s="269">
        <f t="shared" si="18"/>
        <v>2475.0599999999977</v>
      </c>
      <c r="P360" s="269">
        <f t="shared" si="18"/>
        <v>157837.90000000002</v>
      </c>
      <c r="Q360" s="269">
        <f t="shared" si="18"/>
        <v>0</v>
      </c>
      <c r="R360" s="269">
        <f t="shared" si="18"/>
        <v>434793.69000000006</v>
      </c>
      <c r="S360" s="269">
        <f t="shared" si="18"/>
        <v>-53796.790000000154</v>
      </c>
      <c r="T360" s="104">
        <f t="shared" si="18"/>
        <v>475354.1200000001</v>
      </c>
      <c r="U360" s="104">
        <f t="shared" si="18"/>
        <v>0</v>
      </c>
      <c r="V360" s="104">
        <f t="shared" si="18"/>
        <v>-2106644.2299999706</v>
      </c>
      <c r="W360" s="226"/>
    </row>
    <row r="361" spans="1:23" ht="12.75" customHeight="1">
      <c r="A361" s="211"/>
      <c r="B361" s="214"/>
      <c r="C361" s="213"/>
      <c r="D361" s="215"/>
      <c r="E361" s="102"/>
      <c r="F361" s="102"/>
      <c r="G361" s="102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102"/>
      <c r="U361" s="102"/>
      <c r="V361" s="102"/>
      <c r="W361" s="211"/>
    </row>
    <row r="362" spans="1:23" s="232" customFormat="1" ht="12.75" hidden="1" outlineLevel="1">
      <c r="A362" s="230" t="s">
        <v>1386</v>
      </c>
      <c r="B362" s="231"/>
      <c r="C362" s="231" t="s">
        <v>1387</v>
      </c>
      <c r="D362" s="231" t="s">
        <v>1388</v>
      </c>
      <c r="E362" s="256">
        <v>18533316.56</v>
      </c>
      <c r="F362" s="256">
        <v>429507.67</v>
      </c>
      <c r="G362" s="256"/>
      <c r="H362" s="257">
        <v>-5059.81</v>
      </c>
      <c r="I362" s="257">
        <v>241456.01</v>
      </c>
      <c r="J362" s="257">
        <v>-5608.31</v>
      </c>
      <c r="K362" s="257">
        <v>468.86</v>
      </c>
      <c r="L362" s="257">
        <v>107592.55</v>
      </c>
      <c r="M362" s="257">
        <v>-1204.67</v>
      </c>
      <c r="N362" s="257">
        <v>0</v>
      </c>
      <c r="O362" s="257">
        <v>-4244.36</v>
      </c>
      <c r="P362" s="257">
        <v>-407680.24</v>
      </c>
      <c r="Q362" s="257">
        <v>0</v>
      </c>
      <c r="R362" s="257">
        <v>81004.59</v>
      </c>
      <c r="S362" s="257">
        <v>-22413.34</v>
      </c>
      <c r="T362" s="256">
        <v>-15688.72</v>
      </c>
      <c r="U362" s="256">
        <v>0</v>
      </c>
      <c r="V362" s="256">
        <f>E362+F362+G362+T362+U362</f>
        <v>18947135.51</v>
      </c>
      <c r="W362" s="230"/>
    </row>
    <row r="363" spans="1:23" s="270" customFormat="1" ht="12.75" customHeight="1" collapsed="1">
      <c r="A363" s="218" t="s">
        <v>1389</v>
      </c>
      <c r="B363" s="219" t="s">
        <v>1584</v>
      </c>
      <c r="D363" s="74"/>
      <c r="E363" s="104">
        <v>18533316.56</v>
      </c>
      <c r="F363" s="104">
        <v>429507.67</v>
      </c>
      <c r="G363" s="104">
        <v>915672.4</v>
      </c>
      <c r="H363" s="264">
        <v>-5059.81</v>
      </c>
      <c r="I363" s="264">
        <v>241456.01</v>
      </c>
      <c r="J363" s="264">
        <v>-5608.31</v>
      </c>
      <c r="K363" s="264">
        <v>468.86</v>
      </c>
      <c r="L363" s="264">
        <v>107592.55</v>
      </c>
      <c r="M363" s="264">
        <v>-1204.67</v>
      </c>
      <c r="N363" s="264">
        <v>0</v>
      </c>
      <c r="O363" s="264">
        <v>-4244.36</v>
      </c>
      <c r="P363" s="264">
        <v>-407680.24</v>
      </c>
      <c r="Q363" s="264">
        <v>0</v>
      </c>
      <c r="R363" s="264">
        <v>81004.59</v>
      </c>
      <c r="S363" s="264">
        <v>-22413.34</v>
      </c>
      <c r="T363" s="104">
        <v>-15688.72</v>
      </c>
      <c r="U363" s="104">
        <v>0</v>
      </c>
      <c r="V363" s="104">
        <f>E363+F363+G363+T363+U363</f>
        <v>19862807.91</v>
      </c>
      <c r="W363" s="218"/>
    </row>
    <row r="364" spans="1:23" ht="12.75" customHeight="1">
      <c r="A364" s="218"/>
      <c r="B364" s="214"/>
      <c r="C364" s="220"/>
      <c r="D364" s="74"/>
      <c r="E364" s="104"/>
      <c r="F364" s="104"/>
      <c r="G364" s="10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104"/>
      <c r="U364" s="104"/>
      <c r="V364" s="104"/>
      <c r="W364" s="218"/>
    </row>
    <row r="365" spans="1:23" ht="12.75" customHeight="1">
      <c r="A365" s="218" t="s">
        <v>1488</v>
      </c>
      <c r="B365" s="219" t="s">
        <v>1585</v>
      </c>
      <c r="C365" s="213"/>
      <c r="D365" s="74"/>
      <c r="E365" s="227">
        <f aca="true" t="shared" si="19" ref="E365:V365">E360+E363</f>
        <v>17257570.500000004</v>
      </c>
      <c r="F365" s="227">
        <f t="shared" si="19"/>
        <v>983206.8200000003</v>
      </c>
      <c r="G365" s="227">
        <f t="shared" si="19"/>
        <v>-944279.0399999985</v>
      </c>
      <c r="H365" s="227">
        <f t="shared" si="19"/>
        <v>-4056.960000000002</v>
      </c>
      <c r="I365" s="227">
        <f t="shared" si="19"/>
        <v>52959.08999999997</v>
      </c>
      <c r="J365" s="227">
        <f t="shared" si="19"/>
        <v>69676.82999999999</v>
      </c>
      <c r="K365" s="227">
        <f t="shared" si="19"/>
        <v>420.70000000000016</v>
      </c>
      <c r="L365" s="227">
        <f t="shared" si="19"/>
        <v>155184.18999999983</v>
      </c>
      <c r="M365" s="227">
        <f t="shared" si="19"/>
        <v>13204.340000000057</v>
      </c>
      <c r="N365" s="227">
        <f t="shared" si="19"/>
        <v>-15699.300000000001</v>
      </c>
      <c r="O365" s="227">
        <f t="shared" si="19"/>
        <v>-1769.300000000002</v>
      </c>
      <c r="P365" s="227">
        <f t="shared" si="19"/>
        <v>-249842.33999999997</v>
      </c>
      <c r="Q365" s="227">
        <f t="shared" si="19"/>
        <v>0</v>
      </c>
      <c r="R365" s="227">
        <f t="shared" si="19"/>
        <v>515798.28</v>
      </c>
      <c r="S365" s="227">
        <f t="shared" si="19"/>
        <v>-76210.13000000015</v>
      </c>
      <c r="T365" s="227">
        <f t="shared" si="19"/>
        <v>459665.40000000014</v>
      </c>
      <c r="U365" s="227">
        <f t="shared" si="19"/>
        <v>0</v>
      </c>
      <c r="V365" s="227">
        <f t="shared" si="19"/>
        <v>17756163.68000003</v>
      </c>
      <c r="W365" s="218"/>
    </row>
    <row r="366" spans="5:22" ht="12.75">
      <c r="E366" s="172"/>
      <c r="F366" s="172"/>
      <c r="G366" s="172"/>
      <c r="T366" s="172"/>
      <c r="U366" s="172"/>
      <c r="V366" s="172"/>
    </row>
    <row r="367" spans="5:22" ht="12.75">
      <c r="E367" s="172"/>
      <c r="F367" s="172"/>
      <c r="G367" s="172"/>
      <c r="T367" s="172"/>
      <c r="U367" s="172"/>
      <c r="V367" s="172"/>
    </row>
    <row r="368" spans="5:22" ht="12.75">
      <c r="E368" s="172"/>
      <c r="F368" s="172"/>
      <c r="G368" s="172"/>
      <c r="T368" s="172"/>
      <c r="U368" s="172"/>
      <c r="V368" s="172"/>
    </row>
    <row r="369" spans="5:22" ht="12.75">
      <c r="E369" s="172"/>
      <c r="F369" s="172"/>
      <c r="G369" s="172"/>
      <c r="T369" s="172"/>
      <c r="U369" s="172"/>
      <c r="V369" s="172"/>
    </row>
    <row r="370" spans="5:22" ht="12.75">
      <c r="E370" s="172"/>
      <c r="F370" s="172"/>
      <c r="G370" s="172"/>
      <c r="T370" s="172"/>
      <c r="U370" s="172"/>
      <c r="V370" s="172"/>
    </row>
    <row r="371" spans="5:22" ht="12.75">
      <c r="E371" s="172"/>
      <c r="F371" s="172"/>
      <c r="G371" s="172"/>
      <c r="T371" s="172"/>
      <c r="U371" s="172"/>
      <c r="V371" s="172"/>
    </row>
    <row r="372" spans="5:22" ht="12.75">
      <c r="E372" s="172"/>
      <c r="F372" s="172"/>
      <c r="G372" s="172"/>
      <c r="T372" s="172"/>
      <c r="U372" s="172"/>
      <c r="V372" s="172"/>
    </row>
    <row r="373" spans="5:22" ht="12.75">
      <c r="E373" s="172"/>
      <c r="F373" s="172"/>
      <c r="G373" s="172"/>
      <c r="T373" s="172"/>
      <c r="U373" s="172"/>
      <c r="V373" s="172"/>
    </row>
    <row r="374" spans="5:22" ht="12.75">
      <c r="E374" s="172"/>
      <c r="F374" s="172"/>
      <c r="G374" s="172"/>
      <c r="T374" s="172"/>
      <c r="U374" s="172"/>
      <c r="V374" s="172"/>
    </row>
    <row r="375" spans="5:22" ht="12.75">
      <c r="E375" s="172"/>
      <c r="F375" s="172"/>
      <c r="G375" s="172"/>
      <c r="T375" s="172"/>
      <c r="U375" s="172"/>
      <c r="V375" s="172"/>
    </row>
    <row r="376" spans="5:22" ht="12.75">
      <c r="E376" s="172"/>
      <c r="F376" s="172"/>
      <c r="G376" s="172"/>
      <c r="T376" s="172"/>
      <c r="U376" s="172"/>
      <c r="V376" s="172"/>
    </row>
    <row r="377" spans="5:22" ht="12.75">
      <c r="E377" s="172"/>
      <c r="F377" s="172"/>
      <c r="G377" s="172"/>
      <c r="T377" s="172"/>
      <c r="U377" s="172"/>
      <c r="V377" s="172"/>
    </row>
    <row r="378" spans="5:22" ht="12.75">
      <c r="E378" s="172"/>
      <c r="F378" s="172"/>
      <c r="G378" s="172"/>
      <c r="T378" s="172"/>
      <c r="U378" s="172"/>
      <c r="V378" s="172"/>
    </row>
    <row r="379" spans="5:22" ht="12.75">
      <c r="E379" s="172"/>
      <c r="F379" s="172"/>
      <c r="G379" s="172"/>
      <c r="T379" s="172"/>
      <c r="U379" s="172"/>
      <c r="V379" s="172"/>
    </row>
    <row r="380" spans="5:22" ht="12.75">
      <c r="E380" s="172"/>
      <c r="F380" s="172"/>
      <c r="G380" s="172"/>
      <c r="T380" s="172"/>
      <c r="U380" s="172"/>
      <c r="V380" s="172"/>
    </row>
    <row r="381" spans="5:22" ht="12.75">
      <c r="E381" s="172"/>
      <c r="F381" s="172"/>
      <c r="G381" s="172"/>
      <c r="T381" s="172"/>
      <c r="U381" s="172"/>
      <c r="V381" s="172"/>
    </row>
    <row r="382" spans="5:22" ht="12.75">
      <c r="E382" s="172"/>
      <c r="F382" s="172"/>
      <c r="G382" s="172"/>
      <c r="T382" s="172"/>
      <c r="U382" s="172"/>
      <c r="V382" s="172"/>
    </row>
    <row r="383" spans="5:22" ht="12.75">
      <c r="E383" s="172"/>
      <c r="F383" s="172"/>
      <c r="G383" s="172"/>
      <c r="T383" s="172"/>
      <c r="U383" s="172"/>
      <c r="V383" s="172"/>
    </row>
    <row r="384" spans="5:22" ht="12.75">
      <c r="E384" s="172"/>
      <c r="F384" s="172"/>
      <c r="G384" s="172"/>
      <c r="T384" s="172"/>
      <c r="U384" s="172"/>
      <c r="V384" s="172"/>
    </row>
    <row r="385" spans="5:22" ht="12.75">
      <c r="E385" s="172"/>
      <c r="F385" s="172"/>
      <c r="G385" s="172"/>
      <c r="T385" s="172"/>
      <c r="U385" s="172"/>
      <c r="V385" s="172"/>
    </row>
    <row r="386" spans="5:22" ht="12.75">
      <c r="E386" s="172"/>
      <c r="F386" s="172"/>
      <c r="G386" s="172"/>
      <c r="T386" s="172"/>
      <c r="U386" s="172"/>
      <c r="V386" s="172"/>
    </row>
    <row r="387" spans="5:22" ht="12.75">
      <c r="E387" s="172"/>
      <c r="F387" s="172"/>
      <c r="G387" s="172"/>
      <c r="T387" s="172"/>
      <c r="U387" s="172"/>
      <c r="V387" s="172"/>
    </row>
    <row r="388" spans="5:22" ht="12.75">
      <c r="E388" s="172"/>
      <c r="F388" s="172"/>
      <c r="G388" s="172"/>
      <c r="T388" s="172"/>
      <c r="U388" s="172"/>
      <c r="V388" s="172"/>
    </row>
    <row r="389" spans="5:22" ht="12.75">
      <c r="E389" s="172"/>
      <c r="F389" s="172"/>
      <c r="G389" s="172"/>
      <c r="T389" s="172"/>
      <c r="U389" s="172"/>
      <c r="V389" s="172"/>
    </row>
    <row r="390" spans="5:22" ht="12.75">
      <c r="E390" s="172"/>
      <c r="F390" s="172"/>
      <c r="G390" s="172"/>
      <c r="T390" s="172"/>
      <c r="U390" s="172"/>
      <c r="V390" s="172"/>
    </row>
    <row r="391" spans="5:22" ht="12.75">
      <c r="E391" s="172"/>
      <c r="F391" s="172"/>
      <c r="G391" s="172"/>
      <c r="T391" s="172"/>
      <c r="U391" s="172"/>
      <c r="V391" s="172"/>
    </row>
    <row r="392" spans="5:22" ht="12.75">
      <c r="E392" s="172"/>
      <c r="F392" s="172"/>
      <c r="G392" s="172"/>
      <c r="T392" s="172"/>
      <c r="U392" s="172"/>
      <c r="V392" s="172"/>
    </row>
    <row r="393" spans="5:22" ht="12.75">
      <c r="E393" s="172"/>
      <c r="F393" s="172"/>
      <c r="G393" s="172"/>
      <c r="T393" s="172"/>
      <c r="U393" s="172"/>
      <c r="V393" s="172"/>
    </row>
    <row r="394" spans="5:22" ht="12.75">
      <c r="E394" s="172"/>
      <c r="F394" s="172"/>
      <c r="G394" s="172"/>
      <c r="T394" s="172"/>
      <c r="U394" s="172"/>
      <c r="V394" s="172"/>
    </row>
    <row r="395" spans="5:22" ht="12.75">
      <c r="E395" s="172"/>
      <c r="F395" s="172"/>
      <c r="G395" s="172"/>
      <c r="T395" s="172"/>
      <c r="U395" s="172"/>
      <c r="V395" s="172"/>
    </row>
    <row r="396" spans="5:22" ht="12.75">
      <c r="E396" s="172"/>
      <c r="F396" s="172"/>
      <c r="G396" s="172"/>
      <c r="T396" s="172"/>
      <c r="U396" s="172"/>
      <c r="V396" s="172"/>
    </row>
    <row r="397" spans="5:22" ht="12.75">
      <c r="E397" s="172"/>
      <c r="F397" s="172"/>
      <c r="G397" s="172"/>
      <c r="T397" s="172"/>
      <c r="U397" s="172"/>
      <c r="V397" s="172"/>
    </row>
    <row r="398" spans="5:22" ht="12.75">
      <c r="E398" s="172"/>
      <c r="F398" s="172"/>
      <c r="G398" s="172"/>
      <c r="T398" s="172"/>
      <c r="U398" s="172"/>
      <c r="V398" s="172"/>
    </row>
    <row r="399" spans="5:22" ht="12.75">
      <c r="E399" s="172"/>
      <c r="F399" s="172"/>
      <c r="G399" s="172"/>
      <c r="T399" s="172"/>
      <c r="U399" s="172"/>
      <c r="V399" s="172"/>
    </row>
    <row r="400" spans="5:22" ht="12.75">
      <c r="E400" s="172"/>
      <c r="F400" s="172"/>
      <c r="G400" s="172"/>
      <c r="T400" s="172"/>
      <c r="U400" s="172"/>
      <c r="V400" s="172"/>
    </row>
    <row r="401" spans="5:22" ht="12.75">
      <c r="E401" s="172"/>
      <c r="F401" s="172"/>
      <c r="G401" s="172"/>
      <c r="T401" s="172"/>
      <c r="U401" s="172"/>
      <c r="V401" s="172"/>
    </row>
    <row r="402" spans="5:22" ht="12.75">
      <c r="E402" s="172"/>
      <c r="F402" s="172"/>
      <c r="G402" s="172"/>
      <c r="T402" s="172"/>
      <c r="U402" s="172"/>
      <c r="V402" s="172"/>
    </row>
    <row r="403" spans="5:22" ht="12.75">
      <c r="E403" s="172"/>
      <c r="F403" s="172"/>
      <c r="G403" s="172"/>
      <c r="T403" s="172"/>
      <c r="U403" s="172"/>
      <c r="V403" s="172"/>
    </row>
    <row r="404" spans="5:22" ht="12.75">
      <c r="E404" s="172"/>
      <c r="F404" s="172"/>
      <c r="G404" s="172"/>
      <c r="T404" s="172"/>
      <c r="U404" s="172"/>
      <c r="V404" s="172"/>
    </row>
    <row r="405" spans="5:22" ht="12.75">
      <c r="E405" s="172"/>
      <c r="F405" s="172"/>
      <c r="G405" s="172"/>
      <c r="T405" s="172"/>
      <c r="U405" s="172"/>
      <c r="V405" s="172"/>
    </row>
    <row r="406" spans="5:22" ht="12.75">
      <c r="E406" s="172"/>
      <c r="F406" s="172"/>
      <c r="G406" s="172"/>
      <c r="T406" s="172"/>
      <c r="U406" s="172"/>
      <c r="V406" s="172"/>
    </row>
    <row r="407" spans="5:22" ht="12.75">
      <c r="E407" s="172"/>
      <c r="F407" s="172"/>
      <c r="G407" s="172"/>
      <c r="T407" s="172"/>
      <c r="U407" s="172"/>
      <c r="V407" s="172"/>
    </row>
    <row r="408" spans="5:22" ht="12.75">
      <c r="E408" s="172"/>
      <c r="F408" s="172"/>
      <c r="G408" s="172"/>
      <c r="T408" s="172"/>
      <c r="U408" s="172"/>
      <c r="V408" s="172"/>
    </row>
    <row r="409" spans="5:22" ht="12.75">
      <c r="E409" s="172"/>
      <c r="F409" s="172"/>
      <c r="G409" s="172"/>
      <c r="T409" s="172"/>
      <c r="U409" s="172"/>
      <c r="V409" s="172"/>
    </row>
    <row r="410" spans="5:22" ht="12.75">
      <c r="E410" s="172"/>
      <c r="F410" s="172"/>
      <c r="G410" s="172"/>
      <c r="T410" s="172"/>
      <c r="U410" s="172"/>
      <c r="V410" s="172"/>
    </row>
    <row r="411" spans="5:22" ht="12.75">
      <c r="E411" s="172"/>
      <c r="F411" s="172"/>
      <c r="G411" s="172"/>
      <c r="T411" s="172"/>
      <c r="U411" s="172"/>
      <c r="V411" s="172"/>
    </row>
    <row r="412" spans="5:22" ht="12.75">
      <c r="E412" s="172"/>
      <c r="F412" s="172"/>
      <c r="G412" s="172"/>
      <c r="T412" s="172"/>
      <c r="U412" s="172"/>
      <c r="V412" s="172"/>
    </row>
    <row r="413" spans="5:22" ht="12.75">
      <c r="E413" s="172"/>
      <c r="F413" s="172"/>
      <c r="G413" s="172"/>
      <c r="T413" s="172"/>
      <c r="U413" s="172"/>
      <c r="V413" s="172"/>
    </row>
    <row r="414" spans="5:22" ht="12.75">
      <c r="E414" s="172"/>
      <c r="F414" s="172"/>
      <c r="G414" s="172"/>
      <c r="T414" s="172"/>
      <c r="U414" s="172"/>
      <c r="V414" s="172"/>
    </row>
    <row r="415" spans="5:22" ht="12.75">
      <c r="E415" s="172"/>
      <c r="F415" s="172"/>
      <c r="G415" s="172"/>
      <c r="T415" s="172"/>
      <c r="U415" s="172"/>
      <c r="V415" s="172"/>
    </row>
    <row r="416" spans="5:22" ht="12.75">
      <c r="E416" s="172"/>
      <c r="F416" s="172"/>
      <c r="G416" s="172"/>
      <c r="T416" s="172"/>
      <c r="U416" s="172"/>
      <c r="V416" s="172"/>
    </row>
    <row r="417" spans="5:22" ht="12.75">
      <c r="E417" s="172"/>
      <c r="F417" s="172"/>
      <c r="G417" s="172"/>
      <c r="T417" s="172"/>
      <c r="U417" s="172"/>
      <c r="V417" s="172"/>
    </row>
    <row r="418" spans="5:22" ht="12.75">
      <c r="E418" s="172"/>
      <c r="F418" s="172"/>
      <c r="G418" s="172"/>
      <c r="T418" s="172"/>
      <c r="U418" s="172"/>
      <c r="V418" s="172"/>
    </row>
    <row r="419" spans="5:22" ht="12.75">
      <c r="E419" s="172"/>
      <c r="F419" s="172"/>
      <c r="G419" s="172"/>
      <c r="T419" s="172"/>
      <c r="U419" s="172"/>
      <c r="V419" s="172"/>
    </row>
    <row r="420" spans="5:22" ht="12.75">
      <c r="E420" s="172"/>
      <c r="F420" s="172"/>
      <c r="G420" s="172"/>
      <c r="T420" s="172"/>
      <c r="U420" s="172"/>
      <c r="V420" s="172"/>
    </row>
    <row r="421" spans="5:22" ht="12.75">
      <c r="E421" s="172"/>
      <c r="F421" s="172"/>
      <c r="G421" s="172"/>
      <c r="T421" s="172"/>
      <c r="U421" s="172"/>
      <c r="V421" s="172"/>
    </row>
    <row r="422" spans="5:22" ht="12.75">
      <c r="E422" s="172"/>
      <c r="F422" s="172"/>
      <c r="G422" s="172"/>
      <c r="T422" s="172"/>
      <c r="U422" s="172"/>
      <c r="V422" s="172"/>
    </row>
    <row r="423" spans="5:22" ht="12.75">
      <c r="E423" s="172"/>
      <c r="F423" s="172"/>
      <c r="G423" s="172"/>
      <c r="T423" s="172"/>
      <c r="U423" s="172"/>
      <c r="V423" s="172"/>
    </row>
    <row r="424" spans="5:22" ht="12.75">
      <c r="E424" s="172"/>
      <c r="F424" s="172"/>
      <c r="G424" s="172"/>
      <c r="T424" s="172"/>
      <c r="U424" s="172"/>
      <c r="V424" s="172"/>
    </row>
    <row r="425" spans="5:22" ht="12.75">
      <c r="E425" s="172"/>
      <c r="F425" s="172"/>
      <c r="G425" s="172"/>
      <c r="T425" s="172"/>
      <c r="U425" s="172"/>
      <c r="V425" s="172"/>
    </row>
    <row r="426" spans="5:22" ht="12.75">
      <c r="E426" s="172"/>
      <c r="F426" s="172"/>
      <c r="G426" s="172"/>
      <c r="T426" s="172"/>
      <c r="U426" s="172"/>
      <c r="V426" s="172"/>
    </row>
    <row r="427" spans="5:22" ht="12.75">
      <c r="E427" s="172"/>
      <c r="F427" s="172"/>
      <c r="G427" s="172"/>
      <c r="T427" s="172"/>
      <c r="U427" s="172"/>
      <c r="V427" s="172"/>
    </row>
    <row r="428" spans="5:22" ht="12.75">
      <c r="E428" s="172"/>
      <c r="F428" s="172"/>
      <c r="G428" s="172"/>
      <c r="T428" s="172"/>
      <c r="U428" s="172"/>
      <c r="V428" s="172"/>
    </row>
    <row r="429" spans="5:22" ht="12.75">
      <c r="E429" s="172"/>
      <c r="F429" s="172"/>
      <c r="G429" s="172"/>
      <c r="T429" s="172"/>
      <c r="U429" s="172"/>
      <c r="V429" s="172"/>
    </row>
    <row r="430" spans="5:22" ht="12.75">
      <c r="E430" s="172"/>
      <c r="F430" s="172"/>
      <c r="G430" s="172"/>
      <c r="T430" s="172"/>
      <c r="U430" s="172"/>
      <c r="V430" s="172"/>
    </row>
    <row r="431" spans="5:22" ht="12.75">
      <c r="E431" s="172"/>
      <c r="F431" s="172"/>
      <c r="G431" s="172"/>
      <c r="T431" s="172"/>
      <c r="U431" s="172"/>
      <c r="V431" s="172"/>
    </row>
    <row r="432" spans="5:22" ht="12.75">
      <c r="E432" s="172"/>
      <c r="F432" s="172"/>
      <c r="G432" s="172"/>
      <c r="T432" s="172"/>
      <c r="U432" s="172"/>
      <c r="V432" s="172"/>
    </row>
    <row r="433" spans="5:22" ht="12.75">
      <c r="E433" s="172"/>
      <c r="F433" s="172"/>
      <c r="G433" s="172"/>
      <c r="T433" s="172"/>
      <c r="U433" s="172"/>
      <c r="V433" s="172"/>
    </row>
    <row r="434" spans="5:22" ht="12.75">
      <c r="E434" s="172"/>
      <c r="F434" s="172"/>
      <c r="G434" s="172"/>
      <c r="T434" s="172"/>
      <c r="U434" s="172"/>
      <c r="V434" s="172"/>
    </row>
    <row r="435" spans="5:22" ht="12.75">
      <c r="E435" s="172"/>
      <c r="F435" s="172"/>
      <c r="G435" s="172"/>
      <c r="T435" s="172"/>
      <c r="U435" s="172"/>
      <c r="V435" s="172"/>
    </row>
    <row r="436" spans="5:22" ht="12.75">
      <c r="E436" s="172"/>
      <c r="F436" s="172"/>
      <c r="G436" s="172"/>
      <c r="T436" s="172"/>
      <c r="U436" s="172"/>
      <c r="V436" s="172"/>
    </row>
    <row r="437" spans="5:22" ht="12.75">
      <c r="E437" s="172"/>
      <c r="F437" s="172"/>
      <c r="G437" s="172"/>
      <c r="T437" s="172"/>
      <c r="U437" s="172"/>
      <c r="V437" s="172"/>
    </row>
    <row r="438" spans="5:22" ht="12.75">
      <c r="E438" s="172"/>
      <c r="F438" s="172"/>
      <c r="G438" s="172"/>
      <c r="T438" s="172"/>
      <c r="U438" s="172"/>
      <c r="V438" s="172"/>
    </row>
    <row r="439" spans="5:22" ht="12.75">
      <c r="E439" s="172"/>
      <c r="F439" s="172"/>
      <c r="G439" s="172"/>
      <c r="T439" s="172"/>
      <c r="U439" s="172"/>
      <c r="V439" s="172"/>
    </row>
    <row r="440" spans="5:22" ht="12.75">
      <c r="E440" s="172"/>
      <c r="F440" s="172"/>
      <c r="G440" s="172"/>
      <c r="T440" s="172"/>
      <c r="U440" s="172"/>
      <c r="V440" s="172"/>
    </row>
    <row r="441" spans="5:22" ht="12.75">
      <c r="E441" s="172"/>
      <c r="F441" s="172"/>
      <c r="G441" s="172"/>
      <c r="T441" s="172"/>
      <c r="U441" s="172"/>
      <c r="V441" s="172"/>
    </row>
    <row r="442" spans="5:22" ht="12.75">
      <c r="E442" s="172"/>
      <c r="F442" s="172"/>
      <c r="G442" s="172"/>
      <c r="T442" s="172"/>
      <c r="U442" s="172"/>
      <c r="V442" s="172"/>
    </row>
    <row r="443" spans="5:22" ht="12.75">
      <c r="E443" s="172"/>
      <c r="F443" s="172"/>
      <c r="G443" s="172"/>
      <c r="T443" s="172"/>
      <c r="U443" s="172"/>
      <c r="V443" s="172"/>
    </row>
    <row r="444" spans="5:22" ht="12.75">
      <c r="E444" s="172"/>
      <c r="F444" s="172"/>
      <c r="G444" s="172"/>
      <c r="T444" s="172"/>
      <c r="U444" s="172"/>
      <c r="V444" s="172"/>
    </row>
    <row r="445" spans="5:22" ht="12.75">
      <c r="E445" s="172"/>
      <c r="F445" s="172"/>
      <c r="G445" s="172"/>
      <c r="T445" s="172"/>
      <c r="U445" s="172"/>
      <c r="V445" s="172"/>
    </row>
    <row r="446" spans="5:22" ht="12.75">
      <c r="E446" s="172"/>
      <c r="F446" s="172"/>
      <c r="G446" s="172"/>
      <c r="T446" s="172"/>
      <c r="U446" s="172"/>
      <c r="V446" s="172"/>
    </row>
    <row r="447" spans="5:22" ht="12.75">
      <c r="E447" s="172"/>
      <c r="F447" s="172"/>
      <c r="G447" s="172"/>
      <c r="T447" s="172"/>
      <c r="U447" s="172"/>
      <c r="V447" s="172"/>
    </row>
    <row r="448" spans="5:22" ht="12.75">
      <c r="E448" s="172"/>
      <c r="F448" s="172"/>
      <c r="G448" s="172"/>
      <c r="T448" s="172"/>
      <c r="U448" s="172"/>
      <c r="V448" s="172"/>
    </row>
    <row r="449" spans="5:22" ht="12.75">
      <c r="E449" s="172"/>
      <c r="F449" s="172"/>
      <c r="G449" s="172"/>
      <c r="T449" s="172"/>
      <c r="U449" s="172"/>
      <c r="V449" s="172"/>
    </row>
    <row r="450" spans="5:22" ht="12.75">
      <c r="E450" s="172"/>
      <c r="F450" s="172"/>
      <c r="G450" s="172"/>
      <c r="T450" s="172"/>
      <c r="U450" s="172"/>
      <c r="V450" s="172"/>
    </row>
    <row r="451" spans="5:22" ht="12.75">
      <c r="E451" s="172"/>
      <c r="F451" s="172"/>
      <c r="G451" s="172"/>
      <c r="T451" s="172"/>
      <c r="U451" s="172"/>
      <c r="V451" s="172"/>
    </row>
    <row r="452" spans="5:22" ht="12.75">
      <c r="E452" s="172"/>
      <c r="F452" s="172"/>
      <c r="G452" s="172"/>
      <c r="T452" s="172"/>
      <c r="U452" s="172"/>
      <c r="V452" s="172"/>
    </row>
    <row r="453" spans="5:22" ht="12.75">
      <c r="E453" s="172"/>
      <c r="F453" s="172"/>
      <c r="G453" s="172"/>
      <c r="T453" s="172"/>
      <c r="U453" s="172"/>
      <c r="V453" s="172"/>
    </row>
    <row r="454" spans="5:22" ht="12.75">
      <c r="E454" s="172"/>
      <c r="F454" s="172"/>
      <c r="G454" s="172"/>
      <c r="T454" s="172"/>
      <c r="U454" s="172"/>
      <c r="V454" s="172"/>
    </row>
    <row r="455" spans="5:22" ht="12.75">
      <c r="E455" s="172"/>
      <c r="F455" s="172"/>
      <c r="G455" s="172"/>
      <c r="T455" s="172"/>
      <c r="U455" s="172"/>
      <c r="V455" s="172"/>
    </row>
    <row r="456" spans="5:22" ht="12.75">
      <c r="E456" s="172"/>
      <c r="F456" s="172"/>
      <c r="G456" s="172"/>
      <c r="T456" s="172"/>
      <c r="U456" s="172"/>
      <c r="V456" s="172"/>
    </row>
    <row r="457" spans="5:22" ht="12.75">
      <c r="E457" s="172"/>
      <c r="F457" s="172"/>
      <c r="G457" s="172"/>
      <c r="T457" s="172"/>
      <c r="U457" s="172"/>
      <c r="V457" s="172"/>
    </row>
    <row r="458" spans="5:22" ht="12.75">
      <c r="E458" s="172"/>
      <c r="F458" s="172"/>
      <c r="G458" s="172"/>
      <c r="T458" s="172"/>
      <c r="U458" s="172"/>
      <c r="V458" s="172"/>
    </row>
    <row r="459" spans="5:22" ht="12.75">
      <c r="E459" s="172"/>
      <c r="F459" s="172"/>
      <c r="G459" s="172"/>
      <c r="T459" s="172"/>
      <c r="U459" s="172"/>
      <c r="V459" s="172"/>
    </row>
    <row r="460" spans="5:22" ht="12.75">
      <c r="E460" s="172"/>
      <c r="F460" s="172"/>
      <c r="G460" s="172"/>
      <c r="T460" s="172"/>
      <c r="U460" s="172"/>
      <c r="V460" s="172"/>
    </row>
    <row r="461" spans="5:22" ht="12.75">
      <c r="E461" s="172"/>
      <c r="F461" s="172"/>
      <c r="G461" s="172"/>
      <c r="T461" s="172"/>
      <c r="U461" s="172"/>
      <c r="V461" s="172"/>
    </row>
    <row r="462" spans="5:22" ht="12.75">
      <c r="E462" s="172"/>
      <c r="F462" s="172"/>
      <c r="G462" s="172"/>
      <c r="T462" s="172"/>
      <c r="U462" s="172"/>
      <c r="V462" s="172"/>
    </row>
    <row r="463" spans="5:22" ht="12.75">
      <c r="E463" s="172"/>
      <c r="F463" s="172"/>
      <c r="G463" s="172"/>
      <c r="T463" s="172"/>
      <c r="U463" s="172"/>
      <c r="V463" s="172"/>
    </row>
    <row r="464" spans="5:22" ht="12.75">
      <c r="E464" s="172"/>
      <c r="F464" s="172"/>
      <c r="G464" s="172"/>
      <c r="T464" s="172"/>
      <c r="U464" s="172"/>
      <c r="V464" s="172"/>
    </row>
    <row r="465" spans="5:22" ht="12.75">
      <c r="E465" s="172"/>
      <c r="F465" s="172"/>
      <c r="G465" s="172"/>
      <c r="T465" s="172"/>
      <c r="U465" s="172"/>
      <c r="V465" s="172"/>
    </row>
    <row r="466" spans="5:22" ht="12.75">
      <c r="E466" s="172"/>
      <c r="F466" s="172"/>
      <c r="G466" s="172"/>
      <c r="T466" s="172"/>
      <c r="U466" s="172"/>
      <c r="V466" s="172"/>
    </row>
    <row r="467" spans="5:22" ht="12.75">
      <c r="E467" s="172"/>
      <c r="F467" s="172"/>
      <c r="G467" s="172"/>
      <c r="T467" s="172"/>
      <c r="U467" s="172"/>
      <c r="V467" s="172"/>
    </row>
    <row r="468" spans="5:22" ht="12.75">
      <c r="E468" s="172"/>
      <c r="F468" s="172"/>
      <c r="G468" s="172"/>
      <c r="T468" s="172"/>
      <c r="U468" s="172"/>
      <c r="V468" s="172"/>
    </row>
    <row r="469" spans="5:22" ht="12.75">
      <c r="E469" s="172"/>
      <c r="F469" s="172"/>
      <c r="G469" s="172"/>
      <c r="T469" s="172"/>
      <c r="U469" s="172"/>
      <c r="V469" s="172"/>
    </row>
    <row r="470" spans="5:22" ht="12.75">
      <c r="E470" s="172"/>
      <c r="F470" s="172"/>
      <c r="G470" s="172"/>
      <c r="T470" s="172"/>
      <c r="U470" s="172"/>
      <c r="V470" s="172"/>
    </row>
    <row r="471" spans="5:22" ht="12.75">
      <c r="E471" s="172"/>
      <c r="F471" s="172"/>
      <c r="G471" s="172"/>
      <c r="T471" s="172"/>
      <c r="U471" s="172"/>
      <c r="V471" s="172"/>
    </row>
    <row r="472" spans="5:22" ht="12.75">
      <c r="E472" s="172"/>
      <c r="F472" s="172"/>
      <c r="G472" s="172"/>
      <c r="T472" s="172"/>
      <c r="U472" s="172"/>
      <c r="V472" s="172"/>
    </row>
    <row r="473" spans="5:22" ht="12.75">
      <c r="E473" s="172"/>
      <c r="F473" s="172"/>
      <c r="G473" s="172"/>
      <c r="T473" s="172"/>
      <c r="U473" s="172"/>
      <c r="V473" s="172"/>
    </row>
    <row r="474" spans="5:22" ht="12.75">
      <c r="E474" s="172"/>
      <c r="F474" s="172"/>
      <c r="G474" s="172"/>
      <c r="T474" s="172"/>
      <c r="U474" s="172"/>
      <c r="V474" s="172"/>
    </row>
    <row r="475" spans="5:22" ht="12.75">
      <c r="E475" s="172"/>
      <c r="F475" s="172"/>
      <c r="G475" s="172"/>
      <c r="T475" s="172"/>
      <c r="U475" s="172"/>
      <c r="V475" s="172"/>
    </row>
    <row r="476" spans="5:22" ht="12.75">
      <c r="E476" s="172"/>
      <c r="F476" s="172"/>
      <c r="G476" s="172"/>
      <c r="T476" s="172"/>
      <c r="U476" s="172"/>
      <c r="V476" s="172"/>
    </row>
    <row r="477" spans="5:22" ht="12.75">
      <c r="E477" s="172"/>
      <c r="F477" s="172"/>
      <c r="G477" s="172"/>
      <c r="T477" s="172"/>
      <c r="U477" s="172"/>
      <c r="V477" s="172"/>
    </row>
    <row r="478" spans="5:22" ht="12.75">
      <c r="E478" s="172"/>
      <c r="F478" s="172"/>
      <c r="G478" s="172"/>
      <c r="T478" s="172"/>
      <c r="U478" s="172"/>
      <c r="V478" s="172"/>
    </row>
    <row r="479" spans="5:22" ht="12.75">
      <c r="E479" s="172"/>
      <c r="F479" s="172"/>
      <c r="G479" s="172"/>
      <c r="T479" s="172"/>
      <c r="U479" s="172"/>
      <c r="V479" s="172"/>
    </row>
    <row r="480" spans="5:22" ht="12.75">
      <c r="E480" s="172"/>
      <c r="F480" s="172"/>
      <c r="G480" s="172"/>
      <c r="T480" s="172"/>
      <c r="U480" s="172"/>
      <c r="V480" s="172"/>
    </row>
    <row r="481" spans="5:22" ht="12.75">
      <c r="E481" s="172"/>
      <c r="F481" s="172"/>
      <c r="G481" s="172"/>
      <c r="T481" s="172"/>
      <c r="U481" s="172"/>
      <c r="V481" s="172"/>
    </row>
    <row r="482" spans="5:22" ht="12.75">
      <c r="E482" s="172"/>
      <c r="F482" s="172"/>
      <c r="G482" s="172"/>
      <c r="T482" s="172"/>
      <c r="U482" s="172"/>
      <c r="V482" s="172"/>
    </row>
    <row r="483" spans="5:22" ht="12.75">
      <c r="E483" s="172"/>
      <c r="F483" s="172"/>
      <c r="G483" s="172"/>
      <c r="T483" s="172"/>
      <c r="U483" s="172"/>
      <c r="V483" s="172"/>
    </row>
    <row r="484" spans="5:22" ht="12.75">
      <c r="E484" s="172"/>
      <c r="F484" s="172"/>
      <c r="G484" s="172"/>
      <c r="T484" s="172"/>
      <c r="U484" s="172"/>
      <c r="V484" s="172"/>
    </row>
    <row r="485" spans="5:22" ht="12.75">
      <c r="E485" s="172"/>
      <c r="F485" s="172"/>
      <c r="G485" s="172"/>
      <c r="T485" s="172"/>
      <c r="U485" s="172"/>
      <c r="V485" s="172"/>
    </row>
    <row r="486" spans="5:22" ht="12.75">
      <c r="E486" s="172"/>
      <c r="F486" s="172"/>
      <c r="G486" s="172"/>
      <c r="T486" s="172"/>
      <c r="U486" s="172"/>
      <c r="V486" s="172"/>
    </row>
    <row r="487" spans="5:22" ht="12.75">
      <c r="E487" s="172"/>
      <c r="F487" s="172"/>
      <c r="G487" s="172"/>
      <c r="T487" s="172"/>
      <c r="U487" s="172"/>
      <c r="V487" s="172"/>
    </row>
    <row r="488" spans="5:22" ht="12.75">
      <c r="E488" s="172"/>
      <c r="F488" s="172"/>
      <c r="G488" s="172"/>
      <c r="T488" s="172"/>
      <c r="U488" s="172"/>
      <c r="V488" s="172"/>
    </row>
    <row r="489" spans="5:22" ht="12.75">
      <c r="E489" s="172"/>
      <c r="F489" s="172"/>
      <c r="G489" s="172"/>
      <c r="T489" s="172"/>
      <c r="U489" s="172"/>
      <c r="V489" s="172"/>
    </row>
    <row r="490" spans="5:22" ht="12.75">
      <c r="E490" s="172"/>
      <c r="F490" s="172"/>
      <c r="G490" s="172"/>
      <c r="T490" s="172"/>
      <c r="U490" s="172"/>
      <c r="V490" s="172"/>
    </row>
    <row r="491" spans="5:22" ht="12.75">
      <c r="E491" s="172"/>
      <c r="F491" s="172"/>
      <c r="G491" s="172"/>
      <c r="T491" s="172"/>
      <c r="U491" s="172"/>
      <c r="V491" s="172"/>
    </row>
    <row r="492" spans="5:22" ht="12.75">
      <c r="E492" s="172"/>
      <c r="F492" s="172"/>
      <c r="G492" s="172"/>
      <c r="T492" s="172"/>
      <c r="U492" s="172"/>
      <c r="V492" s="172"/>
    </row>
    <row r="493" spans="5:22" ht="12.75">
      <c r="E493" s="172"/>
      <c r="F493" s="172"/>
      <c r="G493" s="172"/>
      <c r="T493" s="172"/>
      <c r="U493" s="172"/>
      <c r="V493" s="172"/>
    </row>
    <row r="494" spans="5:22" ht="12.75">
      <c r="E494" s="172"/>
      <c r="F494" s="172"/>
      <c r="G494" s="172"/>
      <c r="T494" s="172"/>
      <c r="U494" s="172"/>
      <c r="V494" s="172"/>
    </row>
    <row r="495" spans="5:22" ht="12.75">
      <c r="E495" s="172"/>
      <c r="F495" s="172"/>
      <c r="G495" s="172"/>
      <c r="T495" s="172"/>
      <c r="U495" s="172"/>
      <c r="V495" s="172"/>
    </row>
    <row r="496" spans="5:22" ht="12.75">
      <c r="E496" s="172"/>
      <c r="F496" s="172"/>
      <c r="G496" s="172"/>
      <c r="T496" s="172"/>
      <c r="U496" s="172"/>
      <c r="V496" s="172"/>
    </row>
    <row r="497" spans="5:22" ht="12.75">
      <c r="E497" s="172"/>
      <c r="F497" s="172"/>
      <c r="G497" s="172"/>
      <c r="T497" s="172"/>
      <c r="U497" s="172"/>
      <c r="V497" s="172"/>
    </row>
    <row r="498" spans="5:22" ht="12.75">
      <c r="E498" s="172"/>
      <c r="F498" s="172"/>
      <c r="G498" s="172"/>
      <c r="T498" s="172"/>
      <c r="U498" s="172"/>
      <c r="V498" s="172"/>
    </row>
    <row r="499" spans="5:22" ht="12.75">
      <c r="E499" s="172"/>
      <c r="F499" s="172"/>
      <c r="G499" s="172"/>
      <c r="T499" s="172"/>
      <c r="U499" s="172"/>
      <c r="V499" s="172"/>
    </row>
    <row r="500" spans="5:22" ht="12.75">
      <c r="E500" s="172"/>
      <c r="F500" s="172"/>
      <c r="G500" s="172"/>
      <c r="T500" s="172"/>
      <c r="U500" s="172"/>
      <c r="V500" s="172"/>
    </row>
    <row r="501" spans="5:22" ht="12.75">
      <c r="E501" s="172"/>
      <c r="F501" s="172"/>
      <c r="G501" s="172"/>
      <c r="T501" s="172"/>
      <c r="U501" s="172"/>
      <c r="V501" s="172"/>
    </row>
    <row r="502" spans="5:22" ht="12.75">
      <c r="E502" s="172"/>
      <c r="F502" s="172"/>
      <c r="G502" s="172"/>
      <c r="T502" s="172"/>
      <c r="U502" s="172"/>
      <c r="V502" s="172"/>
    </row>
    <row r="503" spans="5:22" ht="12.75">
      <c r="E503" s="172"/>
      <c r="F503" s="172"/>
      <c r="G503" s="172"/>
      <c r="T503" s="172"/>
      <c r="U503" s="172"/>
      <c r="V503" s="172"/>
    </row>
    <row r="504" spans="5:22" ht="12.75">
      <c r="E504" s="172"/>
      <c r="F504" s="172"/>
      <c r="G504" s="172"/>
      <c r="T504" s="172"/>
      <c r="U504" s="172"/>
      <c r="V504" s="172"/>
    </row>
    <row r="505" spans="5:22" ht="12.75">
      <c r="E505" s="172"/>
      <c r="F505" s="172"/>
      <c r="G505" s="172"/>
      <c r="T505" s="172"/>
      <c r="U505" s="172"/>
      <c r="V505" s="172"/>
    </row>
    <row r="506" spans="5:22" ht="12.75">
      <c r="E506" s="172"/>
      <c r="F506" s="172"/>
      <c r="G506" s="172"/>
      <c r="T506" s="172"/>
      <c r="U506" s="172"/>
      <c r="V506" s="172"/>
    </row>
    <row r="507" spans="5:22" ht="12.75">
      <c r="E507" s="172"/>
      <c r="F507" s="172"/>
      <c r="G507" s="172"/>
      <c r="T507" s="172"/>
      <c r="U507" s="172"/>
      <c r="V507" s="172"/>
    </row>
    <row r="508" spans="5:22" ht="12.75">
      <c r="E508" s="172"/>
      <c r="F508" s="172"/>
      <c r="G508" s="172"/>
      <c r="T508" s="172"/>
      <c r="U508" s="172"/>
      <c r="V508" s="172"/>
    </row>
    <row r="509" spans="5:22" ht="12.75">
      <c r="E509" s="172"/>
      <c r="F509" s="172"/>
      <c r="G509" s="172"/>
      <c r="T509" s="172"/>
      <c r="U509" s="172"/>
      <c r="V509" s="172"/>
    </row>
    <row r="510" spans="5:22" ht="12.75">
      <c r="E510" s="172"/>
      <c r="F510" s="172"/>
      <c r="G510" s="172"/>
      <c r="T510" s="172"/>
      <c r="U510" s="172"/>
      <c r="V510" s="172"/>
    </row>
    <row r="511" spans="5:22" ht="12.75">
      <c r="E511" s="172"/>
      <c r="F511" s="172"/>
      <c r="G511" s="172"/>
      <c r="T511" s="172"/>
      <c r="U511" s="172"/>
      <c r="V511" s="172"/>
    </row>
    <row r="512" spans="5:22" ht="12.75">
      <c r="E512" s="172"/>
      <c r="F512" s="172"/>
      <c r="G512" s="172"/>
      <c r="T512" s="172"/>
      <c r="U512" s="172"/>
      <c r="V512" s="172"/>
    </row>
    <row r="513" spans="5:22" ht="12.75">
      <c r="E513" s="172"/>
      <c r="F513" s="172"/>
      <c r="G513" s="172"/>
      <c r="T513" s="172"/>
      <c r="U513" s="172"/>
      <c r="V513" s="172"/>
    </row>
    <row r="514" spans="5:22" ht="12.75">
      <c r="E514" s="172"/>
      <c r="F514" s="172"/>
      <c r="G514" s="172"/>
      <c r="T514" s="172"/>
      <c r="U514" s="172"/>
      <c r="V514" s="172"/>
    </row>
    <row r="515" spans="5:22" ht="12.75">
      <c r="E515" s="172"/>
      <c r="F515" s="172"/>
      <c r="G515" s="172"/>
      <c r="T515" s="172"/>
      <c r="U515" s="172"/>
      <c r="V515" s="172"/>
    </row>
    <row r="516" spans="5:22" ht="12.75">
      <c r="E516" s="172"/>
      <c r="F516" s="172"/>
      <c r="G516" s="172"/>
      <c r="T516" s="172"/>
      <c r="U516" s="172"/>
      <c r="V516" s="172"/>
    </row>
    <row r="517" spans="5:22" ht="12.75">
      <c r="E517" s="172"/>
      <c r="F517" s="172"/>
      <c r="G517" s="172"/>
      <c r="T517" s="172"/>
      <c r="U517" s="172"/>
      <c r="V517" s="172"/>
    </row>
    <row r="518" spans="5:22" ht="12.75">
      <c r="E518" s="172"/>
      <c r="F518" s="172"/>
      <c r="G518" s="172"/>
      <c r="T518" s="172"/>
      <c r="U518" s="172"/>
      <c r="V518" s="172"/>
    </row>
    <row r="519" spans="5:22" ht="12.75">
      <c r="E519" s="172"/>
      <c r="F519" s="172"/>
      <c r="G519" s="172"/>
      <c r="T519" s="172"/>
      <c r="U519" s="172"/>
      <c r="V519" s="172"/>
    </row>
    <row r="520" spans="5:22" ht="12.75">
      <c r="E520" s="172"/>
      <c r="F520" s="172"/>
      <c r="G520" s="172"/>
      <c r="T520" s="172"/>
      <c r="U520" s="172"/>
      <c r="V520" s="172"/>
    </row>
    <row r="521" spans="5:22" ht="12.75">
      <c r="E521" s="172"/>
      <c r="F521" s="172"/>
      <c r="G521" s="172"/>
      <c r="T521" s="172"/>
      <c r="U521" s="172"/>
      <c r="V521" s="172"/>
    </row>
    <row r="522" spans="5:22" ht="12.75">
      <c r="E522" s="172"/>
      <c r="F522" s="172"/>
      <c r="G522" s="172"/>
      <c r="T522" s="172"/>
      <c r="U522" s="172"/>
      <c r="V522" s="172"/>
    </row>
    <row r="523" spans="5:22" ht="12.75">
      <c r="E523" s="172"/>
      <c r="F523" s="172"/>
      <c r="G523" s="172"/>
      <c r="T523" s="172"/>
      <c r="U523" s="172"/>
      <c r="V523" s="172"/>
    </row>
    <row r="524" spans="5:22" ht="12.75">
      <c r="E524" s="172"/>
      <c r="F524" s="172"/>
      <c r="G524" s="172"/>
      <c r="T524" s="172"/>
      <c r="U524" s="172"/>
      <c r="V524" s="172"/>
    </row>
    <row r="525" spans="5:22" ht="12.75">
      <c r="E525" s="172"/>
      <c r="F525" s="172"/>
      <c r="G525" s="172"/>
      <c r="T525" s="172"/>
      <c r="U525" s="172"/>
      <c r="V525" s="172"/>
    </row>
    <row r="526" spans="5:22" ht="12.75">
      <c r="E526" s="172"/>
      <c r="F526" s="172"/>
      <c r="G526" s="172"/>
      <c r="T526" s="172"/>
      <c r="U526" s="172"/>
      <c r="V526" s="172"/>
    </row>
    <row r="527" spans="5:22" ht="12.75">
      <c r="E527" s="172"/>
      <c r="F527" s="172"/>
      <c r="G527" s="172"/>
      <c r="T527" s="172"/>
      <c r="U527" s="172"/>
      <c r="V527" s="172"/>
    </row>
    <row r="528" spans="5:22" ht="12.75">
      <c r="E528" s="172"/>
      <c r="F528" s="172"/>
      <c r="G528" s="172"/>
      <c r="T528" s="172"/>
      <c r="U528" s="172"/>
      <c r="V528" s="172"/>
    </row>
    <row r="529" spans="5:22" ht="12.75">
      <c r="E529" s="172"/>
      <c r="F529" s="172"/>
      <c r="G529" s="172"/>
      <c r="T529" s="172"/>
      <c r="U529" s="172"/>
      <c r="V529" s="172"/>
    </row>
    <row r="530" spans="5:22" ht="12.75">
      <c r="E530" s="172"/>
      <c r="F530" s="172"/>
      <c r="G530" s="172"/>
      <c r="T530" s="172"/>
      <c r="U530" s="172"/>
      <c r="V530" s="172"/>
    </row>
    <row r="531" spans="5:22" ht="12.75">
      <c r="E531" s="172"/>
      <c r="F531" s="172"/>
      <c r="G531" s="172"/>
      <c r="T531" s="172"/>
      <c r="U531" s="172"/>
      <c r="V531" s="172"/>
    </row>
    <row r="532" spans="5:22" ht="12.75">
      <c r="E532" s="172"/>
      <c r="F532" s="172"/>
      <c r="G532" s="172"/>
      <c r="T532" s="172"/>
      <c r="U532" s="172"/>
      <c r="V532" s="172"/>
    </row>
    <row r="533" spans="5:22" ht="12.75">
      <c r="E533" s="172"/>
      <c r="F533" s="172"/>
      <c r="G533" s="172"/>
      <c r="T533" s="172"/>
      <c r="U533" s="172"/>
      <c r="V533" s="172"/>
    </row>
    <row r="534" spans="5:22" ht="12.75">
      <c r="E534" s="172"/>
      <c r="F534" s="172"/>
      <c r="G534" s="172"/>
      <c r="T534" s="172"/>
      <c r="U534" s="172"/>
      <c r="V534" s="172"/>
    </row>
    <row r="535" spans="5:22" ht="12.75">
      <c r="E535" s="172"/>
      <c r="F535" s="172"/>
      <c r="G535" s="172"/>
      <c r="T535" s="172"/>
      <c r="U535" s="172"/>
      <c r="V535" s="172"/>
    </row>
    <row r="536" spans="5:22" ht="12.75">
      <c r="E536" s="172"/>
      <c r="F536" s="172"/>
      <c r="G536" s="172"/>
      <c r="T536" s="172"/>
      <c r="U536" s="172"/>
      <c r="V536" s="172"/>
    </row>
    <row r="537" spans="5:22" ht="12.75">
      <c r="E537" s="172"/>
      <c r="F537" s="172"/>
      <c r="G537" s="172"/>
      <c r="T537" s="172"/>
      <c r="U537" s="172"/>
      <c r="V537" s="172"/>
    </row>
    <row r="538" spans="5:22" ht="12.75">
      <c r="E538" s="172"/>
      <c r="F538" s="172"/>
      <c r="G538" s="172"/>
      <c r="T538" s="172"/>
      <c r="U538" s="172"/>
      <c r="V538" s="172"/>
    </row>
    <row r="539" spans="5:22" ht="12.75">
      <c r="E539" s="172"/>
      <c r="F539" s="172"/>
      <c r="G539" s="172"/>
      <c r="T539" s="172"/>
      <c r="U539" s="172"/>
      <c r="V539" s="172"/>
    </row>
    <row r="540" spans="5:22" ht="12.75">
      <c r="E540" s="172"/>
      <c r="F540" s="172"/>
      <c r="G540" s="172"/>
      <c r="T540" s="172"/>
      <c r="U540" s="172"/>
      <c r="V540" s="172"/>
    </row>
    <row r="541" spans="5:22" ht="12.75">
      <c r="E541" s="172"/>
      <c r="F541" s="172"/>
      <c r="G541" s="172"/>
      <c r="T541" s="172"/>
      <c r="U541" s="172"/>
      <c r="V541" s="172"/>
    </row>
    <row r="542" spans="5:22" ht="12.75">
      <c r="E542" s="172"/>
      <c r="F542" s="172"/>
      <c r="G542" s="172"/>
      <c r="T542" s="172"/>
      <c r="U542" s="172"/>
      <c r="V542" s="172"/>
    </row>
    <row r="543" spans="5:22" ht="12.75">
      <c r="E543" s="172"/>
      <c r="F543" s="172"/>
      <c r="G543" s="172"/>
      <c r="T543" s="172"/>
      <c r="U543" s="172"/>
      <c r="V543" s="172"/>
    </row>
    <row r="544" spans="5:22" ht="12.75">
      <c r="E544" s="172"/>
      <c r="F544" s="172"/>
      <c r="G544" s="172"/>
      <c r="T544" s="172"/>
      <c r="U544" s="172"/>
      <c r="V544" s="172"/>
    </row>
    <row r="545" spans="5:22" ht="12.75">
      <c r="E545" s="172"/>
      <c r="F545" s="172"/>
      <c r="G545" s="172"/>
      <c r="T545" s="172"/>
      <c r="U545" s="172"/>
      <c r="V545" s="172"/>
    </row>
    <row r="546" spans="5:22" ht="12.75">
      <c r="E546" s="172"/>
      <c r="F546" s="172"/>
      <c r="G546" s="172"/>
      <c r="T546" s="172"/>
      <c r="U546" s="172"/>
      <c r="V546" s="172"/>
    </row>
    <row r="547" spans="5:22" ht="12.75">
      <c r="E547" s="172"/>
      <c r="F547" s="172"/>
      <c r="G547" s="172"/>
      <c r="T547" s="172"/>
      <c r="U547" s="172"/>
      <c r="V547" s="172"/>
    </row>
    <row r="548" spans="5:22" ht="12.75">
      <c r="E548" s="172"/>
      <c r="F548" s="172"/>
      <c r="G548" s="172"/>
      <c r="T548" s="172"/>
      <c r="U548" s="172"/>
      <c r="V548" s="172"/>
    </row>
    <row r="549" spans="5:22" ht="12.75">
      <c r="E549" s="172"/>
      <c r="F549" s="172"/>
      <c r="G549" s="172"/>
      <c r="T549" s="172"/>
      <c r="U549" s="172"/>
      <c r="V549" s="172"/>
    </row>
    <row r="550" spans="5:22" ht="12.75">
      <c r="E550" s="172"/>
      <c r="F550" s="172"/>
      <c r="G550" s="172"/>
      <c r="T550" s="172"/>
      <c r="U550" s="172"/>
      <c r="V550" s="172"/>
    </row>
    <row r="551" spans="5:22" ht="12.75">
      <c r="E551" s="172"/>
      <c r="F551" s="172"/>
      <c r="G551" s="172"/>
      <c r="T551" s="172"/>
      <c r="U551" s="172"/>
      <c r="V551" s="172"/>
    </row>
    <row r="552" spans="5:22" ht="12.75">
      <c r="E552" s="172"/>
      <c r="F552" s="172"/>
      <c r="G552" s="172"/>
      <c r="T552" s="172"/>
      <c r="U552" s="172"/>
      <c r="V552" s="172"/>
    </row>
    <row r="553" spans="5:22" ht="12.75">
      <c r="E553" s="172"/>
      <c r="F553" s="172"/>
      <c r="G553" s="172"/>
      <c r="T553" s="172"/>
      <c r="U553" s="172"/>
      <c r="V553" s="172"/>
    </row>
    <row r="554" spans="5:22" ht="12.75">
      <c r="E554" s="172"/>
      <c r="F554" s="172"/>
      <c r="G554" s="172"/>
      <c r="T554" s="172"/>
      <c r="U554" s="172"/>
      <c r="V554" s="172"/>
    </row>
    <row r="555" spans="5:22" ht="12.75">
      <c r="E555" s="172"/>
      <c r="F555" s="172"/>
      <c r="G555" s="172"/>
      <c r="T555" s="172"/>
      <c r="U555" s="172"/>
      <c r="V555" s="172"/>
    </row>
    <row r="556" spans="5:22" ht="12.75">
      <c r="E556" s="172"/>
      <c r="F556" s="172"/>
      <c r="G556" s="172"/>
      <c r="T556" s="172"/>
      <c r="U556" s="172"/>
      <c r="V556" s="172"/>
    </row>
    <row r="557" spans="5:22" ht="12.75">
      <c r="E557" s="172"/>
      <c r="F557" s="172"/>
      <c r="G557" s="172"/>
      <c r="T557" s="172"/>
      <c r="U557" s="172"/>
      <c r="V557" s="172"/>
    </row>
    <row r="558" spans="5:22" ht="12.75">
      <c r="E558" s="172"/>
      <c r="F558" s="172"/>
      <c r="G558" s="172"/>
      <c r="T558" s="172"/>
      <c r="U558" s="172"/>
      <c r="V558" s="172"/>
    </row>
    <row r="559" spans="5:22" ht="12.75">
      <c r="E559" s="172"/>
      <c r="F559" s="172"/>
      <c r="G559" s="172"/>
      <c r="T559" s="172"/>
      <c r="U559" s="172"/>
      <c r="V559" s="172"/>
    </row>
    <row r="560" spans="5:22" ht="12.75">
      <c r="E560" s="172"/>
      <c r="F560" s="172"/>
      <c r="G560" s="172"/>
      <c r="T560" s="172"/>
      <c r="U560" s="172"/>
      <c r="V560" s="172"/>
    </row>
    <row r="561" spans="5:22" ht="12.75">
      <c r="E561" s="172"/>
      <c r="F561" s="172"/>
      <c r="G561" s="172"/>
      <c r="T561" s="172"/>
      <c r="U561" s="172"/>
      <c r="V561" s="172"/>
    </row>
    <row r="562" spans="5:22" ht="12.75">
      <c r="E562" s="172"/>
      <c r="F562" s="172"/>
      <c r="G562" s="172"/>
      <c r="T562" s="172"/>
      <c r="U562" s="172"/>
      <c r="V562" s="172"/>
    </row>
    <row r="563" spans="5:22" ht="12.75">
      <c r="E563" s="172"/>
      <c r="F563" s="172"/>
      <c r="G563" s="172"/>
      <c r="T563" s="172"/>
      <c r="U563" s="172"/>
      <c r="V563" s="172"/>
    </row>
    <row r="564" spans="5:22" ht="12.75">
      <c r="E564" s="172"/>
      <c r="F564" s="172"/>
      <c r="G564" s="172"/>
      <c r="T564" s="172"/>
      <c r="U564" s="172"/>
      <c r="V564" s="172"/>
    </row>
    <row r="565" spans="5:22" ht="12.75">
      <c r="E565" s="172"/>
      <c r="F565" s="172"/>
      <c r="G565" s="172"/>
      <c r="T565" s="172"/>
      <c r="U565" s="172"/>
      <c r="V565" s="172"/>
    </row>
    <row r="566" spans="5:22" ht="12.75">
      <c r="E566" s="172"/>
      <c r="F566" s="172"/>
      <c r="G566" s="172"/>
      <c r="T566" s="172"/>
      <c r="U566" s="172"/>
      <c r="V566" s="172"/>
    </row>
    <row r="567" spans="5:22" ht="12.75">
      <c r="E567" s="172"/>
      <c r="F567" s="172"/>
      <c r="G567" s="172"/>
      <c r="T567" s="172"/>
      <c r="U567" s="172"/>
      <c r="V567" s="172"/>
    </row>
    <row r="568" spans="5:22" ht="12.75">
      <c r="E568" s="172"/>
      <c r="F568" s="172"/>
      <c r="G568" s="172"/>
      <c r="T568" s="172"/>
      <c r="U568" s="172"/>
      <c r="V568" s="172"/>
    </row>
    <row r="569" spans="5:22" ht="12.75">
      <c r="E569" s="172"/>
      <c r="F569" s="172"/>
      <c r="G569" s="172"/>
      <c r="T569" s="172"/>
      <c r="U569" s="172"/>
      <c r="V569" s="172"/>
    </row>
    <row r="570" spans="5:22" ht="12.75">
      <c r="E570" s="172"/>
      <c r="F570" s="172"/>
      <c r="G570" s="172"/>
      <c r="T570" s="172"/>
      <c r="U570" s="172"/>
      <c r="V570" s="172"/>
    </row>
    <row r="571" spans="5:22" ht="12.75">
      <c r="E571" s="172"/>
      <c r="F571" s="172"/>
      <c r="G571" s="172"/>
      <c r="T571" s="172"/>
      <c r="U571" s="172"/>
      <c r="V571" s="172"/>
    </row>
    <row r="572" spans="5:22" ht="12.75">
      <c r="E572" s="172"/>
      <c r="F572" s="172"/>
      <c r="G572" s="172"/>
      <c r="T572" s="172"/>
      <c r="U572" s="172"/>
      <c r="V572" s="172"/>
    </row>
    <row r="573" spans="5:22" ht="12.75">
      <c r="E573" s="172"/>
      <c r="F573" s="172"/>
      <c r="G573" s="172"/>
      <c r="T573" s="172"/>
      <c r="U573" s="172"/>
      <c r="V573" s="172"/>
    </row>
    <row r="574" spans="5:22" ht="12.75">
      <c r="E574" s="172"/>
      <c r="F574" s="172"/>
      <c r="G574" s="172"/>
      <c r="T574" s="172"/>
      <c r="U574" s="172"/>
      <c r="V574" s="172"/>
    </row>
    <row r="575" spans="5:22" ht="12.75">
      <c r="E575" s="172"/>
      <c r="F575" s="172"/>
      <c r="G575" s="172"/>
      <c r="T575" s="172"/>
      <c r="U575" s="172"/>
      <c r="V575" s="172"/>
    </row>
    <row r="576" spans="5:22" ht="12.75">
      <c r="E576" s="172"/>
      <c r="F576" s="172"/>
      <c r="G576" s="172"/>
      <c r="T576" s="172"/>
      <c r="U576" s="172"/>
      <c r="V576" s="172"/>
    </row>
    <row r="577" spans="5:22" ht="12.75">
      <c r="E577" s="172"/>
      <c r="F577" s="172"/>
      <c r="G577" s="172"/>
      <c r="T577" s="172"/>
      <c r="U577" s="172"/>
      <c r="V577" s="172"/>
    </row>
    <row r="578" spans="5:22" ht="12.75">
      <c r="E578" s="172"/>
      <c r="F578" s="172"/>
      <c r="G578" s="172"/>
      <c r="T578" s="172"/>
      <c r="U578" s="172"/>
      <c r="V578" s="172"/>
    </row>
    <row r="579" spans="5:22" ht="12.75">
      <c r="E579" s="172"/>
      <c r="F579" s="172"/>
      <c r="G579" s="172"/>
      <c r="T579" s="172"/>
      <c r="U579" s="172"/>
      <c r="V579" s="172"/>
    </row>
    <row r="580" spans="5:22" ht="12.75">
      <c r="E580" s="172"/>
      <c r="F580" s="172"/>
      <c r="G580" s="172"/>
      <c r="T580" s="172"/>
      <c r="U580" s="172"/>
      <c r="V580" s="172"/>
    </row>
    <row r="581" spans="5:22" ht="12.75">
      <c r="E581" s="172"/>
      <c r="F581" s="172"/>
      <c r="G581" s="172"/>
      <c r="T581" s="172"/>
      <c r="U581" s="172"/>
      <c r="V581" s="172"/>
    </row>
    <row r="582" spans="5:22" ht="12.75">
      <c r="E582" s="172"/>
      <c r="F582" s="172"/>
      <c r="G582" s="172"/>
      <c r="T582" s="172"/>
      <c r="U582" s="172"/>
      <c r="V582" s="172"/>
    </row>
    <row r="583" spans="5:22" ht="12.75">
      <c r="E583" s="172"/>
      <c r="F583" s="172"/>
      <c r="G583" s="172"/>
      <c r="T583" s="172"/>
      <c r="U583" s="172"/>
      <c r="V583" s="172"/>
    </row>
    <row r="584" spans="5:22" ht="12.75">
      <c r="E584" s="172"/>
      <c r="F584" s="172"/>
      <c r="G584" s="172"/>
      <c r="T584" s="172"/>
      <c r="U584" s="172"/>
      <c r="V584" s="172"/>
    </row>
    <row r="585" spans="5:22" ht="12.75">
      <c r="E585" s="172"/>
      <c r="F585" s="172"/>
      <c r="G585" s="172"/>
      <c r="T585" s="172"/>
      <c r="U585" s="172"/>
      <c r="V585" s="172"/>
    </row>
    <row r="586" spans="5:22" ht="12.75">
      <c r="E586" s="172"/>
      <c r="F586" s="172"/>
      <c r="G586" s="172"/>
      <c r="T586" s="172"/>
      <c r="U586" s="172"/>
      <c r="V586" s="172"/>
    </row>
    <row r="587" spans="5:22" ht="12.75">
      <c r="E587" s="172"/>
      <c r="F587" s="172"/>
      <c r="G587" s="172"/>
      <c r="T587" s="172"/>
      <c r="U587" s="172"/>
      <c r="V587" s="172"/>
    </row>
    <row r="588" spans="5:22" ht="12.75">
      <c r="E588" s="172"/>
      <c r="F588" s="172"/>
      <c r="G588" s="172"/>
      <c r="T588" s="172"/>
      <c r="U588" s="172"/>
      <c r="V588" s="172"/>
    </row>
    <row r="589" spans="5:22" ht="12.75">
      <c r="E589" s="172"/>
      <c r="F589" s="172"/>
      <c r="G589" s="172"/>
      <c r="T589" s="172"/>
      <c r="U589" s="172"/>
      <c r="V589" s="172"/>
    </row>
    <row r="590" spans="5:22" ht="12.75">
      <c r="E590" s="172"/>
      <c r="F590" s="172"/>
      <c r="G590" s="172"/>
      <c r="T590" s="172"/>
      <c r="U590" s="172"/>
      <c r="V590" s="172"/>
    </row>
    <row r="591" spans="5:22" ht="12.75">
      <c r="E591" s="172"/>
      <c r="F591" s="172"/>
      <c r="G591" s="172"/>
      <c r="T591" s="172"/>
      <c r="U591" s="172"/>
      <c r="V591" s="172"/>
    </row>
    <row r="592" spans="5:22" ht="12.75">
      <c r="E592" s="172"/>
      <c r="F592" s="172"/>
      <c r="G592" s="172"/>
      <c r="T592" s="172"/>
      <c r="U592" s="172"/>
      <c r="V592" s="172"/>
    </row>
    <row r="593" spans="5:22" ht="12.75">
      <c r="E593" s="172"/>
      <c r="F593" s="172"/>
      <c r="G593" s="172"/>
      <c r="T593" s="172"/>
      <c r="U593" s="172"/>
      <c r="V593" s="172"/>
    </row>
    <row r="594" spans="5:22" ht="12.75">
      <c r="E594" s="172"/>
      <c r="F594" s="172"/>
      <c r="G594" s="172"/>
      <c r="T594" s="172"/>
      <c r="U594" s="172"/>
      <c r="V594" s="172"/>
    </row>
    <row r="595" spans="5:22" ht="12.75">
      <c r="E595" s="172"/>
      <c r="F595" s="172"/>
      <c r="G595" s="172"/>
      <c r="T595" s="172"/>
      <c r="U595" s="172"/>
      <c r="V595" s="172"/>
    </row>
    <row r="596" spans="5:22" ht="12.75">
      <c r="E596" s="172"/>
      <c r="F596" s="172"/>
      <c r="G596" s="172"/>
      <c r="T596" s="172"/>
      <c r="U596" s="172"/>
      <c r="V596" s="172"/>
    </row>
    <row r="597" spans="5:22" ht="12.75">
      <c r="E597" s="172"/>
      <c r="F597" s="172"/>
      <c r="G597" s="172"/>
      <c r="T597" s="172"/>
      <c r="U597" s="172"/>
      <c r="V597" s="172"/>
    </row>
    <row r="598" spans="5:22" ht="12.75">
      <c r="E598" s="172"/>
      <c r="F598" s="172"/>
      <c r="G598" s="172"/>
      <c r="T598" s="172"/>
      <c r="U598" s="172"/>
      <c r="V598" s="172"/>
    </row>
    <row r="599" spans="5:22" ht="12.75">
      <c r="E599" s="172"/>
      <c r="F599" s="172"/>
      <c r="G599" s="172"/>
      <c r="T599" s="172"/>
      <c r="U599" s="172"/>
      <c r="V599" s="172"/>
    </row>
    <row r="600" spans="5:22" ht="12.75">
      <c r="E600" s="172"/>
      <c r="F600" s="172"/>
      <c r="G600" s="172"/>
      <c r="T600" s="172"/>
      <c r="U600" s="172"/>
      <c r="V600" s="172"/>
    </row>
    <row r="601" spans="5:22" ht="12.75">
      <c r="E601" s="172"/>
      <c r="F601" s="172"/>
      <c r="G601" s="172"/>
      <c r="T601" s="172"/>
      <c r="U601" s="172"/>
      <c r="V601" s="172"/>
    </row>
    <row r="602" spans="5:22" ht="12.75">
      <c r="E602" s="172"/>
      <c r="F602" s="172"/>
      <c r="G602" s="172"/>
      <c r="T602" s="172"/>
      <c r="U602" s="172"/>
      <c r="V602" s="172"/>
    </row>
    <row r="603" spans="5:22" ht="12.75">
      <c r="E603" s="172"/>
      <c r="F603" s="172"/>
      <c r="G603" s="172"/>
      <c r="T603" s="172"/>
      <c r="U603" s="172"/>
      <c r="V603" s="172"/>
    </row>
    <row r="604" spans="5:22" ht="12.75">
      <c r="E604" s="172"/>
      <c r="F604" s="172"/>
      <c r="G604" s="172"/>
      <c r="T604" s="172"/>
      <c r="U604" s="172"/>
      <c r="V604" s="172"/>
    </row>
    <row r="605" spans="5:22" ht="12.75">
      <c r="E605" s="172"/>
      <c r="F605" s="172"/>
      <c r="G605" s="172"/>
      <c r="T605" s="172"/>
      <c r="U605" s="172"/>
      <c r="V605" s="172"/>
    </row>
    <row r="606" spans="5:22" ht="12.75">
      <c r="E606" s="172"/>
      <c r="F606" s="172"/>
      <c r="G606" s="172"/>
      <c r="T606" s="172"/>
      <c r="U606" s="172"/>
      <c r="V606" s="172"/>
    </row>
    <row r="607" spans="5:22" ht="12.75">
      <c r="E607" s="172"/>
      <c r="F607" s="172"/>
      <c r="G607" s="172"/>
      <c r="T607" s="172"/>
      <c r="U607" s="172"/>
      <c r="V607" s="172"/>
    </row>
    <row r="608" spans="5:22" ht="12.75">
      <c r="E608" s="172"/>
      <c r="F608" s="172"/>
      <c r="G608" s="172"/>
      <c r="T608" s="172"/>
      <c r="U608" s="172"/>
      <c r="V608" s="172"/>
    </row>
    <row r="609" spans="5:22" ht="12.75">
      <c r="E609" s="172"/>
      <c r="F609" s="172"/>
      <c r="G609" s="172"/>
      <c r="T609" s="172"/>
      <c r="U609" s="172"/>
      <c r="V609" s="172"/>
    </row>
    <row r="610" spans="5:22" ht="12.75">
      <c r="E610" s="172"/>
      <c r="F610" s="172"/>
      <c r="G610" s="172"/>
      <c r="T610" s="172"/>
      <c r="U610" s="172"/>
      <c r="V610" s="172"/>
    </row>
    <row r="611" spans="5:22" ht="12.75">
      <c r="E611" s="172"/>
      <c r="F611" s="172"/>
      <c r="G611" s="172"/>
      <c r="T611" s="172"/>
      <c r="U611" s="172"/>
      <c r="V611" s="172"/>
    </row>
    <row r="612" spans="5:22" ht="12.75">
      <c r="E612" s="172"/>
      <c r="F612" s="172"/>
      <c r="G612" s="172"/>
      <c r="T612" s="172"/>
      <c r="U612" s="172"/>
      <c r="V612" s="172"/>
    </row>
    <row r="613" spans="5:22" ht="12.75">
      <c r="E613" s="172"/>
      <c r="F613" s="172"/>
      <c r="G613" s="172"/>
      <c r="T613" s="172"/>
      <c r="U613" s="172"/>
      <c r="V613" s="172"/>
    </row>
    <row r="614" spans="5:22" ht="12.75">
      <c r="E614" s="172"/>
      <c r="F614" s="172"/>
      <c r="G614" s="172"/>
      <c r="T614" s="172"/>
      <c r="U614" s="172"/>
      <c r="V614" s="172"/>
    </row>
    <row r="615" spans="5:22" ht="12.75">
      <c r="E615" s="172"/>
      <c r="F615" s="172"/>
      <c r="G615" s="172"/>
      <c r="T615" s="172"/>
      <c r="U615" s="172"/>
      <c r="V615" s="172"/>
    </row>
    <row r="616" spans="5:22" ht="12.75">
      <c r="E616" s="172"/>
      <c r="F616" s="172"/>
      <c r="G616" s="172"/>
      <c r="T616" s="172"/>
      <c r="U616" s="172"/>
      <c r="V616" s="172"/>
    </row>
    <row r="617" spans="5:22" ht="12.75">
      <c r="E617" s="172"/>
      <c r="F617" s="172"/>
      <c r="G617" s="172"/>
      <c r="T617" s="172"/>
      <c r="U617" s="172"/>
      <c r="V617" s="172"/>
    </row>
    <row r="618" spans="5:22" ht="12.75">
      <c r="E618" s="172"/>
      <c r="F618" s="172"/>
      <c r="G618" s="172"/>
      <c r="T618" s="172"/>
      <c r="U618" s="172"/>
      <c r="V618" s="172"/>
    </row>
    <row r="619" spans="5:22" ht="12.75">
      <c r="E619" s="172"/>
      <c r="F619" s="172"/>
      <c r="G619" s="172"/>
      <c r="T619" s="172"/>
      <c r="U619" s="172"/>
      <c r="V619" s="172"/>
    </row>
    <row r="620" spans="5:22" ht="12.75">
      <c r="E620" s="172"/>
      <c r="F620" s="172"/>
      <c r="G620" s="172"/>
      <c r="T620" s="172"/>
      <c r="U620" s="172"/>
      <c r="V620" s="172"/>
    </row>
    <row r="621" spans="5:22" ht="12.75">
      <c r="E621" s="172"/>
      <c r="F621" s="172"/>
      <c r="G621" s="172"/>
      <c r="T621" s="172"/>
      <c r="U621" s="172"/>
      <c r="V621" s="172"/>
    </row>
    <row r="622" spans="5:22" ht="12.75">
      <c r="E622" s="172"/>
      <c r="F622" s="172"/>
      <c r="G622" s="172"/>
      <c r="T622" s="172"/>
      <c r="U622" s="172"/>
      <c r="V622" s="172"/>
    </row>
    <row r="623" spans="5:22" ht="12.75">
      <c r="E623" s="172"/>
      <c r="F623" s="172"/>
      <c r="G623" s="172"/>
      <c r="T623" s="172"/>
      <c r="U623" s="172"/>
      <c r="V623" s="172"/>
    </row>
    <row r="624" spans="5:22" ht="12.75">
      <c r="E624" s="172"/>
      <c r="F624" s="172"/>
      <c r="G624" s="172"/>
      <c r="T624" s="172"/>
      <c r="U624" s="172"/>
      <c r="V624" s="172"/>
    </row>
    <row r="625" spans="5:22" ht="12.75">
      <c r="E625" s="172"/>
      <c r="F625" s="172"/>
      <c r="G625" s="172"/>
      <c r="T625" s="172"/>
      <c r="U625" s="172"/>
      <c r="V625" s="172"/>
    </row>
    <row r="626" spans="5:22" ht="12.75">
      <c r="E626" s="172"/>
      <c r="F626" s="172"/>
      <c r="G626" s="172"/>
      <c r="T626" s="172"/>
      <c r="U626" s="172"/>
      <c r="V626" s="172"/>
    </row>
    <row r="627" spans="5:22" ht="12.75">
      <c r="E627" s="172"/>
      <c r="F627" s="172"/>
      <c r="G627" s="172"/>
      <c r="T627" s="172"/>
      <c r="U627" s="172"/>
      <c r="V627" s="172"/>
    </row>
    <row r="628" spans="5:22" ht="12.75">
      <c r="E628" s="172"/>
      <c r="F628" s="172"/>
      <c r="G628" s="172"/>
      <c r="T628" s="172"/>
      <c r="U628" s="172"/>
      <c r="V628" s="172"/>
    </row>
    <row r="629" spans="5:22" ht="12.75">
      <c r="E629" s="172"/>
      <c r="F629" s="172"/>
      <c r="G629" s="172"/>
      <c r="T629" s="172"/>
      <c r="U629" s="172"/>
      <c r="V629" s="172"/>
    </row>
    <row r="630" spans="5:22" ht="12.75">
      <c r="E630" s="172"/>
      <c r="F630" s="172"/>
      <c r="G630" s="172"/>
      <c r="T630" s="172"/>
      <c r="U630" s="172"/>
      <c r="V630" s="172"/>
    </row>
    <row r="631" spans="5:22" ht="12.75">
      <c r="E631" s="172"/>
      <c r="F631" s="172"/>
      <c r="G631" s="172"/>
      <c r="T631" s="172"/>
      <c r="U631" s="172"/>
      <c r="V631" s="172"/>
    </row>
    <row r="632" spans="5:22" ht="12.75">
      <c r="E632" s="172"/>
      <c r="F632" s="172"/>
      <c r="G632" s="172"/>
      <c r="T632" s="172"/>
      <c r="U632" s="172"/>
      <c r="V632" s="172"/>
    </row>
    <row r="633" spans="5:22" ht="12.75">
      <c r="E633" s="172"/>
      <c r="F633" s="172"/>
      <c r="G633" s="172"/>
      <c r="T633" s="172"/>
      <c r="U633" s="172"/>
      <c r="V633" s="172"/>
    </row>
    <row r="634" spans="5:22" ht="12.75">
      <c r="E634" s="172"/>
      <c r="F634" s="172"/>
      <c r="G634" s="172"/>
      <c r="T634" s="172"/>
      <c r="U634" s="172"/>
      <c r="V634" s="172"/>
    </row>
    <row r="635" spans="5:22" ht="12.75">
      <c r="E635" s="172"/>
      <c r="F635" s="172"/>
      <c r="G635" s="172"/>
      <c r="T635" s="172"/>
      <c r="U635" s="172"/>
      <c r="V635" s="172"/>
    </row>
    <row r="636" spans="5:22" ht="12.75">
      <c r="E636" s="172"/>
      <c r="F636" s="172"/>
      <c r="G636" s="172"/>
      <c r="T636" s="172"/>
      <c r="U636" s="172"/>
      <c r="V636" s="172"/>
    </row>
    <row r="637" spans="5:22" ht="12.75">
      <c r="E637" s="172"/>
      <c r="F637" s="172"/>
      <c r="G637" s="172"/>
      <c r="T637" s="172"/>
      <c r="U637" s="172"/>
      <c r="V637" s="172"/>
    </row>
    <row r="638" spans="5:22" ht="12.75">
      <c r="E638" s="172"/>
      <c r="F638" s="172"/>
      <c r="G638" s="172"/>
      <c r="T638" s="172"/>
      <c r="U638" s="172"/>
      <c r="V638" s="172"/>
    </row>
    <row r="639" spans="5:22" ht="12.75">
      <c r="E639" s="172"/>
      <c r="F639" s="172"/>
      <c r="G639" s="172"/>
      <c r="T639" s="172"/>
      <c r="U639" s="172"/>
      <c r="V639" s="172"/>
    </row>
    <row r="640" spans="5:22" ht="12.75">
      <c r="E640" s="172"/>
      <c r="F640" s="172"/>
      <c r="G640" s="172"/>
      <c r="T640" s="172"/>
      <c r="U640" s="172"/>
      <c r="V640" s="172"/>
    </row>
    <row r="641" spans="5:22" ht="12.75">
      <c r="E641" s="172"/>
      <c r="F641" s="172"/>
      <c r="G641" s="172"/>
      <c r="T641" s="172"/>
      <c r="U641" s="172"/>
      <c r="V641" s="172"/>
    </row>
    <row r="642" spans="5:22" ht="12.75">
      <c r="E642" s="172"/>
      <c r="F642" s="172"/>
      <c r="G642" s="172"/>
      <c r="T642" s="172"/>
      <c r="U642" s="172"/>
      <c r="V642" s="172"/>
    </row>
    <row r="643" spans="5:22" ht="12.75">
      <c r="E643" s="172"/>
      <c r="F643" s="172"/>
      <c r="G643" s="172"/>
      <c r="T643" s="172"/>
      <c r="U643" s="172"/>
      <c r="V643" s="172"/>
    </row>
    <row r="644" spans="5:22" ht="12.75">
      <c r="E644" s="172"/>
      <c r="F644" s="172"/>
      <c r="G644" s="172"/>
      <c r="T644" s="172"/>
      <c r="U644" s="172"/>
      <c r="V644" s="172"/>
    </row>
    <row r="645" spans="5:22" ht="12.75">
      <c r="E645" s="172"/>
      <c r="F645" s="172"/>
      <c r="G645" s="172"/>
      <c r="T645" s="172"/>
      <c r="U645" s="172"/>
      <c r="V645" s="172"/>
    </row>
    <row r="646" spans="5:22" ht="12.75">
      <c r="E646" s="172"/>
      <c r="F646" s="172"/>
      <c r="G646" s="172"/>
      <c r="T646" s="172"/>
      <c r="U646" s="172"/>
      <c r="V646" s="172"/>
    </row>
    <row r="647" spans="5:22" ht="12.75">
      <c r="E647" s="172"/>
      <c r="F647" s="172"/>
      <c r="G647" s="172"/>
      <c r="T647" s="172"/>
      <c r="U647" s="172"/>
      <c r="V647" s="172"/>
    </row>
    <row r="648" spans="5:22" ht="12.75">
      <c r="E648" s="172"/>
      <c r="F648" s="172"/>
      <c r="G648" s="172"/>
      <c r="T648" s="172"/>
      <c r="U648" s="172"/>
      <c r="V648" s="172"/>
    </row>
    <row r="649" spans="5:22" ht="12.75">
      <c r="E649" s="172"/>
      <c r="F649" s="172"/>
      <c r="G649" s="172"/>
      <c r="T649" s="172"/>
      <c r="U649" s="172"/>
      <c r="V649" s="172"/>
    </row>
    <row r="650" spans="5:22" ht="12.75">
      <c r="E650" s="172"/>
      <c r="F650" s="172"/>
      <c r="G650" s="172"/>
      <c r="T650" s="172"/>
      <c r="U650" s="172"/>
      <c r="V650" s="172"/>
    </row>
    <row r="651" spans="5:22" ht="12.75">
      <c r="E651" s="172"/>
      <c r="F651" s="172"/>
      <c r="G651" s="172"/>
      <c r="T651" s="172"/>
      <c r="U651" s="172"/>
      <c r="V651" s="172"/>
    </row>
    <row r="652" spans="5:22" ht="12.75">
      <c r="E652" s="172"/>
      <c r="F652" s="172"/>
      <c r="G652" s="172"/>
      <c r="T652" s="172"/>
      <c r="U652" s="172"/>
      <c r="V652" s="172"/>
    </row>
    <row r="653" spans="5:22" ht="12.75">
      <c r="E653" s="172"/>
      <c r="F653" s="172"/>
      <c r="G653" s="172"/>
      <c r="T653" s="172"/>
      <c r="U653" s="172"/>
      <c r="V653" s="172"/>
    </row>
    <row r="654" spans="5:22" ht="12.75">
      <c r="E654" s="172"/>
      <c r="F654" s="172"/>
      <c r="G654" s="172"/>
      <c r="T654" s="172"/>
      <c r="U654" s="172"/>
      <c r="V654" s="172"/>
    </row>
    <row r="655" spans="5:22" ht="12.75">
      <c r="E655" s="172"/>
      <c r="F655" s="172"/>
      <c r="G655" s="172"/>
      <c r="T655" s="172"/>
      <c r="U655" s="172"/>
      <c r="V655" s="172"/>
    </row>
    <row r="656" spans="5:22" ht="12.75">
      <c r="E656" s="172"/>
      <c r="F656" s="172"/>
      <c r="G656" s="172"/>
      <c r="T656" s="172"/>
      <c r="U656" s="172"/>
      <c r="V656" s="172"/>
    </row>
    <row r="657" spans="5:22" ht="12.75">
      <c r="E657" s="172"/>
      <c r="F657" s="172"/>
      <c r="G657" s="172"/>
      <c r="T657" s="172"/>
      <c r="U657" s="172"/>
      <c r="V657" s="172"/>
    </row>
    <row r="658" spans="5:22" ht="12.75">
      <c r="E658" s="172"/>
      <c r="F658" s="172"/>
      <c r="G658" s="172"/>
      <c r="T658" s="172"/>
      <c r="U658" s="172"/>
      <c r="V658" s="172"/>
    </row>
    <row r="659" spans="5:22" ht="12.75">
      <c r="E659" s="172"/>
      <c r="F659" s="172"/>
      <c r="G659" s="172"/>
      <c r="T659" s="172"/>
      <c r="U659" s="172"/>
      <c r="V659" s="172"/>
    </row>
    <row r="660" spans="5:22" ht="12.75">
      <c r="E660" s="172"/>
      <c r="F660" s="172"/>
      <c r="G660" s="172"/>
      <c r="T660" s="172"/>
      <c r="U660" s="172"/>
      <c r="V660" s="172"/>
    </row>
    <row r="661" spans="5:22" ht="12.75">
      <c r="E661" s="172"/>
      <c r="F661" s="172"/>
      <c r="G661" s="172"/>
      <c r="T661" s="172"/>
      <c r="U661" s="172"/>
      <c r="V661" s="172"/>
    </row>
    <row r="662" spans="5:22" ht="12.75">
      <c r="E662" s="172"/>
      <c r="F662" s="172"/>
      <c r="G662" s="172"/>
      <c r="T662" s="172"/>
      <c r="U662" s="172"/>
      <c r="V662" s="172"/>
    </row>
    <row r="663" spans="5:22" ht="12.75">
      <c r="E663" s="172"/>
      <c r="F663" s="172"/>
      <c r="G663" s="172"/>
      <c r="T663" s="172"/>
      <c r="U663" s="172"/>
      <c r="V663" s="172"/>
    </row>
    <row r="664" spans="5:22" ht="12.75">
      <c r="E664" s="172"/>
      <c r="F664" s="172"/>
      <c r="G664" s="172"/>
      <c r="T664" s="172"/>
      <c r="U664" s="172"/>
      <c r="V664" s="172"/>
    </row>
    <row r="665" spans="5:22" ht="12.75">
      <c r="E665" s="172"/>
      <c r="F665" s="172"/>
      <c r="G665" s="172"/>
      <c r="T665" s="172"/>
      <c r="U665" s="172"/>
      <c r="V665" s="172"/>
    </row>
    <row r="666" spans="5:22" ht="12.75">
      <c r="E666" s="172"/>
      <c r="F666" s="172"/>
      <c r="G666" s="172"/>
      <c r="T666" s="172"/>
      <c r="U666" s="172"/>
      <c r="V666" s="172"/>
    </row>
    <row r="667" spans="5:22" ht="12.75">
      <c r="E667" s="172"/>
      <c r="F667" s="172"/>
      <c r="G667" s="172"/>
      <c r="T667" s="172"/>
      <c r="U667" s="172"/>
      <c r="V667" s="172"/>
    </row>
    <row r="668" spans="5:22" ht="12.75">
      <c r="E668" s="172"/>
      <c r="F668" s="172"/>
      <c r="G668" s="172"/>
      <c r="T668" s="172"/>
      <c r="U668" s="172"/>
      <c r="V668" s="172"/>
    </row>
    <row r="669" spans="5:22" ht="12.75">
      <c r="E669" s="172"/>
      <c r="F669" s="172"/>
      <c r="G669" s="172"/>
      <c r="T669" s="172"/>
      <c r="U669" s="172"/>
      <c r="V669" s="172"/>
    </row>
    <row r="670" spans="5:22" ht="12.75">
      <c r="E670" s="172"/>
      <c r="F670" s="172"/>
      <c r="G670" s="172"/>
      <c r="T670" s="172"/>
      <c r="U670" s="172"/>
      <c r="V670" s="172"/>
    </row>
    <row r="671" spans="5:22" ht="12.75">
      <c r="E671" s="172"/>
      <c r="F671" s="172"/>
      <c r="G671" s="172"/>
      <c r="T671" s="172"/>
      <c r="U671" s="172"/>
      <c r="V671" s="172"/>
    </row>
    <row r="672" spans="5:22" ht="12.75">
      <c r="E672" s="172"/>
      <c r="F672" s="172"/>
      <c r="G672" s="172"/>
      <c r="T672" s="172"/>
      <c r="U672" s="172"/>
      <c r="V672" s="172"/>
    </row>
    <row r="673" spans="5:22" ht="12.75">
      <c r="E673" s="172"/>
      <c r="F673" s="172"/>
      <c r="G673" s="172"/>
      <c r="T673" s="172"/>
      <c r="U673" s="172"/>
      <c r="V673" s="172"/>
    </row>
    <row r="674" spans="5:22" ht="12.75">
      <c r="E674" s="172"/>
      <c r="F674" s="172"/>
      <c r="G674" s="172"/>
      <c r="T674" s="172"/>
      <c r="U674" s="172"/>
      <c r="V674" s="172"/>
    </row>
    <row r="675" spans="5:22" ht="12.75">
      <c r="E675" s="172"/>
      <c r="F675" s="172"/>
      <c r="G675" s="172"/>
      <c r="T675" s="172"/>
      <c r="U675" s="172"/>
      <c r="V675" s="172"/>
    </row>
    <row r="676" spans="5:22" ht="12.75">
      <c r="E676" s="172"/>
      <c r="F676" s="172"/>
      <c r="G676" s="172"/>
      <c r="T676" s="172"/>
      <c r="U676" s="172"/>
      <c r="V676" s="172"/>
    </row>
    <row r="677" spans="5:22" ht="12.75">
      <c r="E677" s="172"/>
      <c r="F677" s="172"/>
      <c r="G677" s="172"/>
      <c r="T677" s="172"/>
      <c r="U677" s="172"/>
      <c r="V677" s="172"/>
    </row>
    <row r="678" spans="5:22" ht="12.75">
      <c r="E678" s="172"/>
      <c r="F678" s="172"/>
      <c r="G678" s="172"/>
      <c r="T678" s="172"/>
      <c r="U678" s="172"/>
      <c r="V678" s="172"/>
    </row>
    <row r="679" spans="5:22" ht="12.75">
      <c r="E679" s="172"/>
      <c r="F679" s="172"/>
      <c r="G679" s="172"/>
      <c r="T679" s="172"/>
      <c r="U679" s="172"/>
      <c r="V679" s="172"/>
    </row>
    <row r="680" spans="5:22" ht="12.75">
      <c r="E680" s="172"/>
      <c r="F680" s="172"/>
      <c r="G680" s="172"/>
      <c r="T680" s="172"/>
      <c r="U680" s="172"/>
      <c r="V680" s="172"/>
    </row>
    <row r="681" spans="5:22" ht="12.75">
      <c r="E681" s="172"/>
      <c r="F681" s="172"/>
      <c r="G681" s="172"/>
      <c r="T681" s="172"/>
      <c r="U681" s="172"/>
      <c r="V681" s="172"/>
    </row>
    <row r="682" spans="5:22" ht="12.75">
      <c r="E682" s="172"/>
      <c r="F682" s="172"/>
      <c r="G682" s="172"/>
      <c r="T682" s="172"/>
      <c r="U682" s="172"/>
      <c r="V682" s="172"/>
    </row>
    <row r="683" spans="5:22" ht="12.75">
      <c r="E683" s="172"/>
      <c r="F683" s="172"/>
      <c r="G683" s="172"/>
      <c r="T683" s="172"/>
      <c r="U683" s="172"/>
      <c r="V683" s="172"/>
    </row>
    <row r="684" spans="5:22" ht="12.75">
      <c r="E684" s="172"/>
      <c r="F684" s="172"/>
      <c r="G684" s="172"/>
      <c r="T684" s="172"/>
      <c r="U684" s="172"/>
      <c r="V684" s="172"/>
    </row>
    <row r="685" spans="5:22" ht="12.75">
      <c r="E685" s="172"/>
      <c r="F685" s="172"/>
      <c r="G685" s="172"/>
      <c r="T685" s="172"/>
      <c r="U685" s="172"/>
      <c r="V685" s="172"/>
    </row>
    <row r="686" spans="5:22" ht="12.75">
      <c r="E686" s="172"/>
      <c r="F686" s="172"/>
      <c r="G686" s="172"/>
      <c r="T686" s="172"/>
      <c r="U686" s="172"/>
      <c r="V686" s="172"/>
    </row>
    <row r="687" spans="5:22" ht="12.75">
      <c r="E687" s="172"/>
      <c r="F687" s="172"/>
      <c r="G687" s="172"/>
      <c r="T687" s="172"/>
      <c r="U687" s="172"/>
      <c r="V687" s="172"/>
    </row>
    <row r="688" spans="5:22" ht="12.75">
      <c r="E688" s="172"/>
      <c r="F688" s="172"/>
      <c r="G688" s="172"/>
      <c r="T688" s="172"/>
      <c r="U688" s="172"/>
      <c r="V688" s="172"/>
    </row>
    <row r="689" spans="5:22" ht="12.75">
      <c r="E689" s="172"/>
      <c r="F689" s="172"/>
      <c r="G689" s="172"/>
      <c r="T689" s="172"/>
      <c r="U689" s="172"/>
      <c r="V689" s="172"/>
    </row>
    <row r="690" spans="5:22" ht="12.75">
      <c r="E690" s="172"/>
      <c r="F690" s="172"/>
      <c r="G690" s="172"/>
      <c r="T690" s="172"/>
      <c r="U690" s="172"/>
      <c r="V690" s="172"/>
    </row>
    <row r="691" spans="5:22" ht="12.75">
      <c r="E691" s="172"/>
      <c r="F691" s="172"/>
      <c r="G691" s="172"/>
      <c r="T691" s="172"/>
      <c r="U691" s="172"/>
      <c r="V691" s="172"/>
    </row>
    <row r="692" spans="5:22" ht="12.75">
      <c r="E692" s="172"/>
      <c r="F692" s="172"/>
      <c r="G692" s="172"/>
      <c r="T692" s="172"/>
      <c r="U692" s="172"/>
      <c r="V692" s="172"/>
    </row>
    <row r="693" spans="5:22" ht="12.75">
      <c r="E693" s="172"/>
      <c r="F693" s="172"/>
      <c r="G693" s="172"/>
      <c r="T693" s="172"/>
      <c r="U693" s="172"/>
      <c r="V693" s="172"/>
    </row>
    <row r="694" spans="5:22" ht="12.75">
      <c r="E694" s="172"/>
      <c r="F694" s="172"/>
      <c r="G694" s="172"/>
      <c r="T694" s="172"/>
      <c r="U694" s="172"/>
      <c r="V694" s="172"/>
    </row>
    <row r="695" spans="5:22" ht="12.75">
      <c r="E695" s="172"/>
      <c r="F695" s="172"/>
      <c r="G695" s="172"/>
      <c r="T695" s="172"/>
      <c r="U695" s="172"/>
      <c r="V695" s="172"/>
    </row>
    <row r="696" spans="5:22" ht="12.75">
      <c r="E696" s="172"/>
      <c r="F696" s="172"/>
      <c r="G696" s="172"/>
      <c r="T696" s="172"/>
      <c r="U696" s="172"/>
      <c r="V696" s="172"/>
    </row>
    <row r="697" spans="5:22" ht="12.75">
      <c r="E697" s="172"/>
      <c r="F697" s="172"/>
      <c r="G697" s="172"/>
      <c r="T697" s="172"/>
      <c r="U697" s="172"/>
      <c r="V697" s="172"/>
    </row>
    <row r="698" spans="5:22" ht="12.75">
      <c r="E698" s="172"/>
      <c r="F698" s="172"/>
      <c r="G698" s="172"/>
      <c r="T698" s="172"/>
      <c r="U698" s="172"/>
      <c r="V698" s="172"/>
    </row>
    <row r="699" spans="5:22" ht="12.75">
      <c r="E699" s="172"/>
      <c r="F699" s="172"/>
      <c r="G699" s="172"/>
      <c r="T699" s="172"/>
      <c r="U699" s="172"/>
      <c r="V699" s="172"/>
    </row>
    <row r="700" spans="5:22" ht="12.75">
      <c r="E700" s="172"/>
      <c r="F700" s="172"/>
      <c r="G700" s="172"/>
      <c r="T700" s="172"/>
      <c r="U700" s="172"/>
      <c r="V700" s="172"/>
    </row>
    <row r="701" spans="5:22" ht="12.75">
      <c r="E701" s="172"/>
      <c r="F701" s="172"/>
      <c r="G701" s="172"/>
      <c r="T701" s="172"/>
      <c r="U701" s="172"/>
      <c r="V701" s="172"/>
    </row>
    <row r="702" spans="5:22" ht="12.75">
      <c r="E702" s="172"/>
      <c r="F702" s="172"/>
      <c r="G702" s="172"/>
      <c r="T702" s="172"/>
      <c r="U702" s="172"/>
      <c r="V702" s="172"/>
    </row>
    <row r="703" spans="5:22" ht="12.75">
      <c r="E703" s="172"/>
      <c r="F703" s="172"/>
      <c r="G703" s="172"/>
      <c r="T703" s="172"/>
      <c r="U703" s="172"/>
      <c r="V703" s="172"/>
    </row>
    <row r="704" spans="5:22" ht="12.75">
      <c r="E704" s="172"/>
      <c r="F704" s="172"/>
      <c r="G704" s="172"/>
      <c r="T704" s="172"/>
      <c r="U704" s="172"/>
      <c r="V704" s="172"/>
    </row>
    <row r="705" spans="5:22" ht="12.75">
      <c r="E705" s="172"/>
      <c r="F705" s="172"/>
      <c r="G705" s="172"/>
      <c r="T705" s="172"/>
      <c r="U705" s="172"/>
      <c r="V705" s="172"/>
    </row>
    <row r="706" spans="5:22" ht="12.75">
      <c r="E706" s="172"/>
      <c r="F706" s="172"/>
      <c r="G706" s="172"/>
      <c r="T706" s="172"/>
      <c r="U706" s="172"/>
      <c r="V706" s="172"/>
    </row>
    <row r="707" spans="5:22" ht="12.75">
      <c r="E707" s="172"/>
      <c r="F707" s="172"/>
      <c r="G707" s="172"/>
      <c r="T707" s="172"/>
      <c r="U707" s="172"/>
      <c r="V707" s="172"/>
    </row>
    <row r="708" spans="5:22" ht="12.75">
      <c r="E708" s="172"/>
      <c r="F708" s="172"/>
      <c r="G708" s="172"/>
      <c r="T708" s="172"/>
      <c r="U708" s="172"/>
      <c r="V708" s="172"/>
    </row>
    <row r="709" spans="5:22" ht="12.75">
      <c r="E709" s="172"/>
      <c r="F709" s="172"/>
      <c r="G709" s="172"/>
      <c r="T709" s="172"/>
      <c r="U709" s="172"/>
      <c r="V709" s="172"/>
    </row>
    <row r="710" spans="5:22" ht="12.75">
      <c r="E710" s="172"/>
      <c r="F710" s="172"/>
      <c r="G710" s="172"/>
      <c r="T710" s="172"/>
      <c r="U710" s="172"/>
      <c r="V710" s="172"/>
    </row>
    <row r="711" spans="5:22" ht="12.75">
      <c r="E711" s="172"/>
      <c r="F711" s="172"/>
      <c r="G711" s="172"/>
      <c r="T711" s="172"/>
      <c r="U711" s="172"/>
      <c r="V711" s="172"/>
    </row>
    <row r="712" spans="5:22" ht="12.75">
      <c r="E712" s="172"/>
      <c r="F712" s="172"/>
      <c r="G712" s="172"/>
      <c r="T712" s="172"/>
      <c r="U712" s="172"/>
      <c r="V712" s="172"/>
    </row>
    <row r="713" spans="5:22" ht="12.75">
      <c r="E713" s="172"/>
      <c r="F713" s="172"/>
      <c r="G713" s="172"/>
      <c r="T713" s="172"/>
      <c r="U713" s="172"/>
      <c r="V713" s="172"/>
    </row>
    <row r="714" spans="5:22" ht="12.75">
      <c r="E714" s="172"/>
      <c r="F714" s="172"/>
      <c r="G714" s="172"/>
      <c r="T714" s="172"/>
      <c r="U714" s="172"/>
      <c r="V714" s="172"/>
    </row>
    <row r="715" spans="5:22" ht="12.75">
      <c r="E715" s="172"/>
      <c r="F715" s="172"/>
      <c r="G715" s="172"/>
      <c r="T715" s="172"/>
      <c r="U715" s="172"/>
      <c r="V715" s="172"/>
    </row>
    <row r="716" spans="5:22" ht="12.75">
      <c r="E716" s="172"/>
      <c r="F716" s="172"/>
      <c r="G716" s="172"/>
      <c r="T716" s="172"/>
      <c r="U716" s="172"/>
      <c r="V716" s="172"/>
    </row>
    <row r="717" spans="5:22" ht="12.75">
      <c r="E717" s="172"/>
      <c r="F717" s="172"/>
      <c r="G717" s="172"/>
      <c r="T717" s="172"/>
      <c r="U717" s="172"/>
      <c r="V717" s="172"/>
    </row>
    <row r="718" spans="5:22" ht="12.75">
      <c r="E718" s="172"/>
      <c r="F718" s="172"/>
      <c r="G718" s="172"/>
      <c r="T718" s="172"/>
      <c r="U718" s="172"/>
      <c r="V718" s="172"/>
    </row>
    <row r="719" spans="5:22" ht="12.75">
      <c r="E719" s="172"/>
      <c r="F719" s="172"/>
      <c r="G719" s="172"/>
      <c r="T719" s="172"/>
      <c r="U719" s="172"/>
      <c r="V719" s="172"/>
    </row>
    <row r="720" spans="5:22" ht="12.75">
      <c r="E720" s="172"/>
      <c r="F720" s="172"/>
      <c r="G720" s="172"/>
      <c r="T720" s="172"/>
      <c r="U720" s="172"/>
      <c r="V720" s="172"/>
    </row>
    <row r="721" spans="5:22" ht="12.75">
      <c r="E721" s="172"/>
      <c r="F721" s="172"/>
      <c r="G721" s="172"/>
      <c r="T721" s="172"/>
      <c r="U721" s="172"/>
      <c r="V721" s="172"/>
    </row>
    <row r="722" spans="5:22" ht="12.75">
      <c r="E722" s="172"/>
      <c r="F722" s="172"/>
      <c r="G722" s="172"/>
      <c r="T722" s="172"/>
      <c r="U722" s="172"/>
      <c r="V722" s="172"/>
    </row>
    <row r="723" spans="5:22" ht="12.75">
      <c r="E723" s="172"/>
      <c r="F723" s="172"/>
      <c r="G723" s="172"/>
      <c r="T723" s="172"/>
      <c r="U723" s="172"/>
      <c r="V723" s="172"/>
    </row>
    <row r="724" spans="5:22" ht="12.75">
      <c r="E724" s="172"/>
      <c r="F724" s="172"/>
      <c r="G724" s="172"/>
      <c r="T724" s="172"/>
      <c r="U724" s="172"/>
      <c r="V724" s="172"/>
    </row>
    <row r="725" spans="5:22" ht="12.75">
      <c r="E725" s="172"/>
      <c r="F725" s="172"/>
      <c r="G725" s="172"/>
      <c r="T725" s="172"/>
      <c r="U725" s="172"/>
      <c r="V725" s="172"/>
    </row>
    <row r="726" spans="5:22" ht="12.75">
      <c r="E726" s="172"/>
      <c r="F726" s="172"/>
      <c r="G726" s="172"/>
      <c r="T726" s="172"/>
      <c r="U726" s="172"/>
      <c r="V726" s="172"/>
    </row>
    <row r="727" spans="5:22" ht="12.75">
      <c r="E727" s="172"/>
      <c r="F727" s="172"/>
      <c r="G727" s="172"/>
      <c r="T727" s="172"/>
      <c r="U727" s="172"/>
      <c r="V727" s="172"/>
    </row>
    <row r="728" spans="5:22" ht="12.75">
      <c r="E728" s="172"/>
      <c r="F728" s="172"/>
      <c r="G728" s="172"/>
      <c r="T728" s="172"/>
      <c r="U728" s="172"/>
      <c r="V728" s="172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3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8" sqref="B8"/>
    </sheetView>
  </sheetViews>
  <sheetFormatPr defaultColWidth="9.140625" defaultRowHeight="12.75" outlineLevelRow="1"/>
  <cols>
    <col min="1" max="1" width="3.421875" style="2" hidden="1" customWidth="1"/>
    <col min="2" max="2" width="3.421875" style="173" customWidth="1"/>
    <col min="3" max="3" width="86.421875" style="173" customWidth="1"/>
    <col min="4" max="4" width="15.421875" style="173" customWidth="1"/>
    <col min="5" max="5" width="19.57421875" style="173" customWidth="1"/>
    <col min="6" max="7" width="19.57421875" style="173" hidden="1" customWidth="1"/>
    <col min="8" max="8" width="19.421875" style="172" customWidth="1"/>
    <col min="9" max="9" width="17.57421875" style="172" customWidth="1"/>
    <col min="10" max="10" width="0" style="2" hidden="1" customWidth="1"/>
    <col min="11" max="11" width="8.00390625" style="271" customWidth="1"/>
    <col min="12" max="12" width="8.00390625" style="271" hidden="1" customWidth="1"/>
    <col min="13" max="16384" width="8.00390625" style="271" customWidth="1"/>
  </cols>
  <sheetData>
    <row r="1" spans="1:9" ht="110.25" customHeight="1" hidden="1">
      <c r="A1" s="243" t="s">
        <v>502</v>
      </c>
      <c r="B1" s="173" t="s">
        <v>1486</v>
      </c>
      <c r="C1" s="173" t="s">
        <v>1487</v>
      </c>
      <c r="D1" s="173" t="s">
        <v>1486</v>
      </c>
      <c r="E1" s="173" t="s">
        <v>1486</v>
      </c>
      <c r="H1" s="172" t="s">
        <v>1642</v>
      </c>
      <c r="I1" s="172" t="s">
        <v>1488</v>
      </c>
    </row>
    <row r="2" spans="1:12" ht="15.75" customHeight="1">
      <c r="A2" s="126"/>
      <c r="B2" s="5" t="str">
        <f>"University of Missouri - "&amp;RBN</f>
        <v>University of Missouri - St. Louis</v>
      </c>
      <c r="C2" s="50"/>
      <c r="D2" s="50"/>
      <c r="E2" s="50"/>
      <c r="F2" s="50"/>
      <c r="G2" s="50"/>
      <c r="H2" s="50"/>
      <c r="I2" s="234"/>
      <c r="J2" s="10"/>
      <c r="L2" s="223" t="s">
        <v>1657</v>
      </c>
    </row>
    <row r="3" spans="1:10" ht="15.75" customHeight="1">
      <c r="A3" s="126"/>
      <c r="B3" s="11" t="s">
        <v>503</v>
      </c>
      <c r="C3" s="51"/>
      <c r="D3" s="51"/>
      <c r="E3" s="51"/>
      <c r="F3" s="51"/>
      <c r="G3" s="51"/>
      <c r="H3" s="51"/>
      <c r="I3" s="183"/>
      <c r="J3" s="10"/>
    </row>
    <row r="4" spans="1:10" ht="15.75" customHeight="1">
      <c r="A4" s="130"/>
      <c r="B4" s="85" t="str">
        <f>"For the Year Ending "&amp;TEXT(J4,"MMMM DD, YYY")</f>
        <v>For the Year Ending June 30, 2004</v>
      </c>
      <c r="C4" s="272"/>
      <c r="D4" s="272"/>
      <c r="E4" s="272"/>
      <c r="F4" s="272"/>
      <c r="G4" s="272"/>
      <c r="H4" s="272"/>
      <c r="I4" s="273"/>
      <c r="J4" s="2" t="s">
        <v>1656</v>
      </c>
    </row>
    <row r="5" spans="1:10" ht="12.75" customHeight="1">
      <c r="A5" s="126"/>
      <c r="B5" s="236"/>
      <c r="C5" s="237"/>
      <c r="D5" s="182"/>
      <c r="E5" s="237"/>
      <c r="F5" s="237"/>
      <c r="G5" s="237"/>
      <c r="H5" s="237"/>
      <c r="I5" s="274"/>
      <c r="J5" s="10"/>
    </row>
    <row r="6" spans="2:9" ht="12.75" customHeight="1">
      <c r="B6" s="202"/>
      <c r="C6" s="63"/>
      <c r="D6" s="63"/>
      <c r="E6" s="275" t="s">
        <v>1665</v>
      </c>
      <c r="F6" s="276"/>
      <c r="G6" s="276"/>
      <c r="H6" s="276"/>
      <c r="I6" s="151" t="s">
        <v>1661</v>
      </c>
    </row>
    <row r="7" spans="2:9" ht="12.75" customHeight="1">
      <c r="B7" s="204"/>
      <c r="C7" s="276"/>
      <c r="D7" s="276"/>
      <c r="E7" s="277" t="s">
        <v>1532</v>
      </c>
      <c r="F7" s="240" t="s">
        <v>504</v>
      </c>
      <c r="G7" s="240" t="s">
        <v>505</v>
      </c>
      <c r="H7" s="240" t="s">
        <v>1658</v>
      </c>
      <c r="I7" s="151" t="s">
        <v>1664</v>
      </c>
    </row>
    <row r="8" spans="2:9" ht="12.75" customHeight="1">
      <c r="B8" s="207"/>
      <c r="C8" s="208"/>
      <c r="D8" s="209"/>
      <c r="E8" s="193"/>
      <c r="F8" s="193"/>
      <c r="G8" s="193"/>
      <c r="H8" s="193"/>
      <c r="I8" s="210"/>
    </row>
    <row r="9" spans="2:9" ht="12.75" customHeight="1">
      <c r="B9" s="64" t="s">
        <v>1542</v>
      </c>
      <c r="C9" s="212"/>
      <c r="D9" s="65"/>
      <c r="E9" s="190"/>
      <c r="F9" s="190"/>
      <c r="G9" s="190"/>
      <c r="H9" s="190"/>
      <c r="I9" s="190"/>
    </row>
    <row r="10" spans="1:10" s="278" customFormat="1" ht="12.75" customHeight="1">
      <c r="A10" s="161" t="s">
        <v>1486</v>
      </c>
      <c r="B10" s="214"/>
      <c r="C10" s="213" t="s">
        <v>506</v>
      </c>
      <c r="D10" s="215"/>
      <c r="E10" s="190" t="s">
        <v>1486</v>
      </c>
      <c r="F10" s="190"/>
      <c r="G10" s="190"/>
      <c r="H10" s="190"/>
      <c r="I10" s="190"/>
      <c r="J10" s="161"/>
    </row>
    <row r="11" spans="1:10" s="278" customFormat="1" ht="12.75" customHeight="1">
      <c r="A11" s="161" t="s">
        <v>507</v>
      </c>
      <c r="B11" s="214"/>
      <c r="C11" s="213" t="s">
        <v>508</v>
      </c>
      <c r="D11" s="215"/>
      <c r="E11" s="216">
        <v>59813161.15</v>
      </c>
      <c r="F11" s="216"/>
      <c r="G11" s="216"/>
      <c r="H11" s="216">
        <v>0</v>
      </c>
      <c r="I11" s="216">
        <f aca="true" t="shared" si="0" ref="I11:I28">E11+H11</f>
        <v>59813161.15</v>
      </c>
      <c r="J11" s="161"/>
    </row>
    <row r="12" spans="1:10" s="278" customFormat="1" ht="12.75" customHeight="1">
      <c r="A12" s="161" t="s">
        <v>509</v>
      </c>
      <c r="B12" s="214"/>
      <c r="C12" s="213" t="s">
        <v>510</v>
      </c>
      <c r="D12" s="215"/>
      <c r="E12" s="102">
        <v>3530206.32</v>
      </c>
      <c r="F12" s="102"/>
      <c r="G12" s="102"/>
      <c r="H12" s="102">
        <v>0</v>
      </c>
      <c r="I12" s="102">
        <f t="shared" si="0"/>
        <v>3530206.32</v>
      </c>
      <c r="J12" s="161"/>
    </row>
    <row r="13" spans="1:10" s="278" customFormat="1" ht="12.75" customHeight="1">
      <c r="A13" s="161" t="s">
        <v>511</v>
      </c>
      <c r="B13" s="214"/>
      <c r="C13" s="213" t="s">
        <v>512</v>
      </c>
      <c r="D13" s="215"/>
      <c r="E13" s="102">
        <v>2566175.61</v>
      </c>
      <c r="F13" s="102"/>
      <c r="G13" s="102"/>
      <c r="H13" s="102">
        <v>0</v>
      </c>
      <c r="I13" s="102">
        <f t="shared" si="0"/>
        <v>2566175.61</v>
      </c>
      <c r="J13" s="161"/>
    </row>
    <row r="14" spans="1:10" s="278" customFormat="1" ht="12.75" customHeight="1">
      <c r="A14" s="161" t="s">
        <v>513</v>
      </c>
      <c r="B14" s="214"/>
      <c r="C14" s="213" t="s">
        <v>514</v>
      </c>
      <c r="D14" s="215"/>
      <c r="E14" s="102">
        <v>1424755.94</v>
      </c>
      <c r="F14" s="102"/>
      <c r="G14" s="102"/>
      <c r="H14" s="102">
        <v>0</v>
      </c>
      <c r="I14" s="102">
        <f t="shared" si="0"/>
        <v>1424755.94</v>
      </c>
      <c r="J14" s="161"/>
    </row>
    <row r="15" spans="1:10" s="278" customFormat="1" ht="12.75" customHeight="1">
      <c r="A15" s="161" t="s">
        <v>515</v>
      </c>
      <c r="B15" s="214"/>
      <c r="C15" s="213" t="s">
        <v>516</v>
      </c>
      <c r="D15" s="215"/>
      <c r="E15" s="102">
        <v>2574094.46</v>
      </c>
      <c r="F15" s="102"/>
      <c r="G15" s="102"/>
      <c r="H15" s="102">
        <v>0</v>
      </c>
      <c r="I15" s="102">
        <f t="shared" si="0"/>
        <v>2574094.46</v>
      </c>
      <c r="J15" s="161"/>
    </row>
    <row r="16" spans="1:10" s="278" customFormat="1" ht="12.75" customHeight="1">
      <c r="A16" s="161" t="s">
        <v>517</v>
      </c>
      <c r="B16" s="214"/>
      <c r="C16" s="213" t="s">
        <v>518</v>
      </c>
      <c r="D16" s="215"/>
      <c r="E16" s="102">
        <v>1719414.93</v>
      </c>
      <c r="F16" s="102"/>
      <c r="G16" s="102"/>
      <c r="H16" s="102">
        <v>0</v>
      </c>
      <c r="I16" s="102">
        <f t="shared" si="0"/>
        <v>1719414.93</v>
      </c>
      <c r="J16" s="161"/>
    </row>
    <row r="17" spans="1:9" ht="76.5" hidden="1" outlineLevel="1">
      <c r="A17" s="243" t="s">
        <v>1926</v>
      </c>
      <c r="C17" s="173" t="s">
        <v>1927</v>
      </c>
      <c r="E17" s="221"/>
      <c r="F17" s="221"/>
      <c r="G17" s="221"/>
      <c r="H17" s="222">
        <v>151549</v>
      </c>
      <c r="I17" s="222">
        <f t="shared" si="0"/>
        <v>151549</v>
      </c>
    </row>
    <row r="18" spans="1:9" ht="76.5" hidden="1" outlineLevel="1">
      <c r="A18" s="243" t="s">
        <v>1929</v>
      </c>
      <c r="C18" s="173" t="s">
        <v>1930</v>
      </c>
      <c r="E18" s="221"/>
      <c r="F18" s="221"/>
      <c r="G18" s="221"/>
      <c r="H18" s="222">
        <v>7199163.23</v>
      </c>
      <c r="I18" s="222">
        <f t="shared" si="0"/>
        <v>7199163.23</v>
      </c>
    </row>
    <row r="19" spans="1:9" ht="76.5" hidden="1" outlineLevel="1">
      <c r="A19" s="243" t="s">
        <v>1932</v>
      </c>
      <c r="C19" s="173" t="s">
        <v>1933</v>
      </c>
      <c r="E19" s="221"/>
      <c r="F19" s="221"/>
      <c r="G19" s="221"/>
      <c r="H19" s="222">
        <v>466184.01</v>
      </c>
      <c r="I19" s="222">
        <f t="shared" si="0"/>
        <v>466184.01</v>
      </c>
    </row>
    <row r="20" spans="1:9" ht="76.5" hidden="1" outlineLevel="1">
      <c r="A20" s="243" t="s">
        <v>1935</v>
      </c>
      <c r="C20" s="173" t="s">
        <v>1936</v>
      </c>
      <c r="E20" s="221"/>
      <c r="F20" s="221"/>
      <c r="G20" s="221"/>
      <c r="H20" s="222">
        <v>306710</v>
      </c>
      <c r="I20" s="222">
        <f t="shared" si="0"/>
        <v>306710</v>
      </c>
    </row>
    <row r="21" spans="1:9" ht="76.5" hidden="1" outlineLevel="1">
      <c r="A21" s="243" t="s">
        <v>1938</v>
      </c>
      <c r="C21" s="173" t="s">
        <v>1939</v>
      </c>
      <c r="E21" s="221"/>
      <c r="F21" s="221"/>
      <c r="G21" s="221"/>
      <c r="H21" s="222">
        <v>261592.21</v>
      </c>
      <c r="I21" s="222">
        <f t="shared" si="0"/>
        <v>261592.21</v>
      </c>
    </row>
    <row r="22" spans="1:9" ht="76.5" hidden="1" outlineLevel="1">
      <c r="A22" s="243" t="s">
        <v>1941</v>
      </c>
      <c r="C22" s="173" t="s">
        <v>1942</v>
      </c>
      <c r="E22" s="221"/>
      <c r="F22" s="221"/>
      <c r="G22" s="221"/>
      <c r="H22" s="222">
        <v>110291.9</v>
      </c>
      <c r="I22" s="222">
        <f t="shared" si="0"/>
        <v>110291.9</v>
      </c>
    </row>
    <row r="23" spans="1:9" ht="76.5" hidden="1" outlineLevel="1">
      <c r="A23" s="243" t="s">
        <v>1944</v>
      </c>
      <c r="C23" s="173" t="s">
        <v>1945</v>
      </c>
      <c r="E23" s="221"/>
      <c r="F23" s="221"/>
      <c r="G23" s="221"/>
      <c r="H23" s="222">
        <v>13865.69</v>
      </c>
      <c r="I23" s="222">
        <f t="shared" si="0"/>
        <v>13865.69</v>
      </c>
    </row>
    <row r="24" spans="1:9" ht="76.5" hidden="1" outlineLevel="1">
      <c r="A24" s="243" t="s">
        <v>1947</v>
      </c>
      <c r="C24" s="173" t="s">
        <v>1948</v>
      </c>
      <c r="E24" s="221"/>
      <c r="F24" s="221"/>
      <c r="G24" s="221"/>
      <c r="H24" s="222">
        <v>45132.71</v>
      </c>
      <c r="I24" s="222">
        <f t="shared" si="0"/>
        <v>45132.71</v>
      </c>
    </row>
    <row r="25" spans="1:9" ht="76.5" hidden="1" outlineLevel="1">
      <c r="A25" s="243" t="s">
        <v>1953</v>
      </c>
      <c r="C25" s="173" t="s">
        <v>1954</v>
      </c>
      <c r="E25" s="221"/>
      <c r="F25" s="221"/>
      <c r="G25" s="221"/>
      <c r="H25" s="222">
        <v>8114.22</v>
      </c>
      <c r="I25" s="222">
        <f t="shared" si="0"/>
        <v>8114.22</v>
      </c>
    </row>
    <row r="26" spans="1:9" ht="76.5" hidden="1" outlineLevel="1">
      <c r="A26" s="243" t="s">
        <v>1956</v>
      </c>
      <c r="C26" s="173" t="s">
        <v>1957</v>
      </c>
      <c r="E26" s="221"/>
      <c r="F26" s="221"/>
      <c r="G26" s="221"/>
      <c r="H26" s="222">
        <v>2640</v>
      </c>
      <c r="I26" s="222">
        <f t="shared" si="0"/>
        <v>2640</v>
      </c>
    </row>
    <row r="27" spans="1:10" s="278" customFormat="1" ht="12.75" customHeight="1" collapsed="1">
      <c r="A27" s="161" t="s">
        <v>519</v>
      </c>
      <c r="B27" s="214"/>
      <c r="C27" s="213" t="s">
        <v>1544</v>
      </c>
      <c r="D27" s="215"/>
      <c r="E27" s="102">
        <v>5645935.05</v>
      </c>
      <c r="F27" s="102"/>
      <c r="G27" s="102"/>
      <c r="H27" s="102">
        <v>8565242.97</v>
      </c>
      <c r="I27" s="102">
        <f t="shared" si="0"/>
        <v>14211178.02</v>
      </c>
      <c r="J27" s="161"/>
    </row>
    <row r="28" spans="1:10" s="278" customFormat="1" ht="12.75" customHeight="1">
      <c r="A28" s="22"/>
      <c r="B28" s="219"/>
      <c r="C28" s="220" t="s">
        <v>520</v>
      </c>
      <c r="D28" s="74"/>
      <c r="E28" s="104">
        <f>E11+E12+E13+E14+E15+E16-E27</f>
        <v>65981873.36</v>
      </c>
      <c r="F28" s="104"/>
      <c r="G28" s="104"/>
      <c r="H28" s="104">
        <f>H11+H12+H13+H14+H15+H16-H27</f>
        <v>-8565242.97</v>
      </c>
      <c r="I28" s="104">
        <f t="shared" si="0"/>
        <v>57416630.39</v>
      </c>
      <c r="J28" s="2"/>
    </row>
    <row r="29" spans="1:10" s="278" customFormat="1" ht="12.75" customHeight="1">
      <c r="A29" s="2"/>
      <c r="B29" s="214"/>
      <c r="C29" s="213"/>
      <c r="D29" s="215"/>
      <c r="E29" s="102"/>
      <c r="F29" s="102"/>
      <c r="G29" s="102"/>
      <c r="H29" s="102"/>
      <c r="I29" s="102"/>
      <c r="J29" s="2"/>
    </row>
    <row r="30" spans="1:10" s="278" customFormat="1" ht="12.75" customHeight="1">
      <c r="A30" s="161" t="s">
        <v>1486</v>
      </c>
      <c r="B30" s="214"/>
      <c r="C30" s="213" t="s">
        <v>521</v>
      </c>
      <c r="D30" s="215"/>
      <c r="E30" s="102" t="s">
        <v>1486</v>
      </c>
      <c r="F30" s="102"/>
      <c r="G30" s="102"/>
      <c r="H30" s="102"/>
      <c r="I30" s="102"/>
      <c r="J30" s="161"/>
    </row>
    <row r="31" spans="1:10" s="278" customFormat="1" ht="12.75" customHeight="1">
      <c r="A31" s="161"/>
      <c r="B31" s="214"/>
      <c r="C31" s="213" t="s">
        <v>522</v>
      </c>
      <c r="D31" s="215"/>
      <c r="E31" s="102"/>
      <c r="F31" s="102"/>
      <c r="G31" s="102"/>
      <c r="H31" s="102"/>
      <c r="I31" s="102"/>
      <c r="J31" s="161"/>
    </row>
    <row r="32" spans="1:10" s="278" customFormat="1" ht="12.75" customHeight="1">
      <c r="A32" s="161" t="s">
        <v>1486</v>
      </c>
      <c r="B32" s="214"/>
      <c r="C32" s="213" t="s">
        <v>523</v>
      </c>
      <c r="D32" s="215"/>
      <c r="E32" s="102">
        <v>0</v>
      </c>
      <c r="F32" s="102">
        <v>0</v>
      </c>
      <c r="G32" s="102">
        <v>51838.34</v>
      </c>
      <c r="H32" s="102">
        <f aca="true" t="shared" si="1" ref="H32:H45">F32+G32</f>
        <v>51838.34</v>
      </c>
      <c r="I32" s="102">
        <f aca="true" t="shared" si="2" ref="I32:I48">H32</f>
        <v>51838.34</v>
      </c>
      <c r="J32" s="161"/>
    </row>
    <row r="33" spans="1:10" s="278" customFormat="1" ht="12.75" customHeight="1">
      <c r="A33" s="161" t="s">
        <v>1486</v>
      </c>
      <c r="B33" s="214"/>
      <c r="C33" s="213" t="s">
        <v>524</v>
      </c>
      <c r="D33" s="215"/>
      <c r="E33" s="102">
        <v>0</v>
      </c>
      <c r="F33" s="102">
        <v>0</v>
      </c>
      <c r="G33" s="102">
        <v>18128.39</v>
      </c>
      <c r="H33" s="102">
        <f t="shared" si="1"/>
        <v>18128.39</v>
      </c>
      <c r="I33" s="102">
        <f t="shared" si="2"/>
        <v>18128.39</v>
      </c>
      <c r="J33" s="161"/>
    </row>
    <row r="34" spans="1:10" s="278" customFormat="1" ht="12.75" customHeight="1">
      <c r="A34" s="161" t="s">
        <v>1486</v>
      </c>
      <c r="B34" s="214"/>
      <c r="C34" s="213" t="s">
        <v>525</v>
      </c>
      <c r="D34" s="215"/>
      <c r="E34" s="102">
        <v>0</v>
      </c>
      <c r="F34" s="102">
        <v>0</v>
      </c>
      <c r="G34" s="102">
        <v>72861.06</v>
      </c>
      <c r="H34" s="102">
        <f t="shared" si="1"/>
        <v>72861.06</v>
      </c>
      <c r="I34" s="102">
        <f t="shared" si="2"/>
        <v>72861.06</v>
      </c>
      <c r="J34" s="161"/>
    </row>
    <row r="35" spans="1:10" s="278" customFormat="1" ht="12.75" customHeight="1">
      <c r="A35" s="161" t="s">
        <v>1486</v>
      </c>
      <c r="B35" s="214"/>
      <c r="C35" s="213" t="s">
        <v>526</v>
      </c>
      <c r="D35" s="215"/>
      <c r="E35" s="102">
        <v>0</v>
      </c>
      <c r="F35" s="102">
        <v>35589</v>
      </c>
      <c r="G35" s="102">
        <v>8276055.81</v>
      </c>
      <c r="H35" s="102">
        <f t="shared" si="1"/>
        <v>8311644.81</v>
      </c>
      <c r="I35" s="102">
        <f t="shared" si="2"/>
        <v>8311644.81</v>
      </c>
      <c r="J35" s="161"/>
    </row>
    <row r="36" spans="1:10" s="278" customFormat="1" ht="12.75" customHeight="1">
      <c r="A36" s="161" t="s">
        <v>1486</v>
      </c>
      <c r="B36" s="214"/>
      <c r="C36" s="213" t="s">
        <v>527</v>
      </c>
      <c r="D36" s="215"/>
      <c r="E36" s="102">
        <v>0</v>
      </c>
      <c r="F36" s="102">
        <v>0</v>
      </c>
      <c r="G36" s="102">
        <v>0</v>
      </c>
      <c r="H36" s="102">
        <f t="shared" si="1"/>
        <v>0</v>
      </c>
      <c r="I36" s="102">
        <f t="shared" si="2"/>
        <v>0</v>
      </c>
      <c r="J36" s="161"/>
    </row>
    <row r="37" spans="1:10" s="278" customFormat="1" ht="12.75" customHeight="1">
      <c r="A37" s="161" t="s">
        <v>1486</v>
      </c>
      <c r="B37" s="214"/>
      <c r="C37" s="213" t="s">
        <v>528</v>
      </c>
      <c r="D37" s="215"/>
      <c r="E37" s="102">
        <v>0</v>
      </c>
      <c r="F37" s="102">
        <v>0</v>
      </c>
      <c r="G37" s="102">
        <v>2386680.63</v>
      </c>
      <c r="H37" s="102">
        <f t="shared" si="1"/>
        <v>2386680.63</v>
      </c>
      <c r="I37" s="102">
        <f t="shared" si="2"/>
        <v>2386680.63</v>
      </c>
      <c r="J37" s="161"/>
    </row>
    <row r="38" spans="1:10" s="278" customFormat="1" ht="12.75" customHeight="1">
      <c r="A38" s="161" t="s">
        <v>1486</v>
      </c>
      <c r="B38" s="214"/>
      <c r="C38" s="213" t="s">
        <v>529</v>
      </c>
      <c r="D38" s="215"/>
      <c r="E38" s="102">
        <v>0</v>
      </c>
      <c r="F38" s="102">
        <v>0</v>
      </c>
      <c r="G38" s="102">
        <v>66258.24</v>
      </c>
      <c r="H38" s="102">
        <f t="shared" si="1"/>
        <v>66258.24</v>
      </c>
      <c r="I38" s="102">
        <f t="shared" si="2"/>
        <v>66258.24</v>
      </c>
      <c r="J38" s="161"/>
    </row>
    <row r="39" spans="1:10" s="278" customFormat="1" ht="12.75" customHeight="1">
      <c r="A39" s="161" t="s">
        <v>1486</v>
      </c>
      <c r="B39" s="214"/>
      <c r="C39" s="213" t="s">
        <v>530</v>
      </c>
      <c r="D39" s="215"/>
      <c r="E39" s="102">
        <v>0</v>
      </c>
      <c r="F39" s="102">
        <v>0</v>
      </c>
      <c r="G39" s="102">
        <v>16200.56</v>
      </c>
      <c r="H39" s="102">
        <f t="shared" si="1"/>
        <v>16200.56</v>
      </c>
      <c r="I39" s="102">
        <f t="shared" si="2"/>
        <v>16200.56</v>
      </c>
      <c r="J39" s="161"/>
    </row>
    <row r="40" spans="1:10" s="278" customFormat="1" ht="12.75" customHeight="1">
      <c r="A40" s="161" t="s">
        <v>1486</v>
      </c>
      <c r="B40" s="214"/>
      <c r="C40" s="213" t="s">
        <v>531</v>
      </c>
      <c r="D40" s="215"/>
      <c r="E40" s="102">
        <v>0</v>
      </c>
      <c r="F40" s="102">
        <v>0</v>
      </c>
      <c r="G40" s="102">
        <v>5572</v>
      </c>
      <c r="H40" s="102">
        <f t="shared" si="1"/>
        <v>5572</v>
      </c>
      <c r="I40" s="102">
        <f t="shared" si="2"/>
        <v>5572</v>
      </c>
      <c r="J40" s="161"/>
    </row>
    <row r="41" spans="1:10" s="278" customFormat="1" ht="12.75" customHeight="1">
      <c r="A41" s="161" t="s">
        <v>1486</v>
      </c>
      <c r="B41" s="214"/>
      <c r="C41" s="213" t="s">
        <v>532</v>
      </c>
      <c r="D41" s="215"/>
      <c r="E41" s="102">
        <v>0</v>
      </c>
      <c r="F41" s="102">
        <v>0</v>
      </c>
      <c r="G41" s="102">
        <v>0</v>
      </c>
      <c r="H41" s="102">
        <f t="shared" si="1"/>
        <v>0</v>
      </c>
      <c r="I41" s="102">
        <f t="shared" si="2"/>
        <v>0</v>
      </c>
      <c r="J41" s="161"/>
    </row>
    <row r="42" spans="1:10" s="278" customFormat="1" ht="12.75" customHeight="1">
      <c r="A42" s="161" t="s">
        <v>1486</v>
      </c>
      <c r="B42" s="214"/>
      <c r="C42" s="213" t="s">
        <v>533</v>
      </c>
      <c r="D42" s="215"/>
      <c r="E42" s="102">
        <v>0</v>
      </c>
      <c r="F42" s="102">
        <v>0</v>
      </c>
      <c r="G42" s="102">
        <v>0</v>
      </c>
      <c r="H42" s="102">
        <f t="shared" si="1"/>
        <v>0</v>
      </c>
      <c r="I42" s="102">
        <f t="shared" si="2"/>
        <v>0</v>
      </c>
      <c r="J42" s="161"/>
    </row>
    <row r="43" spans="1:10" s="278" customFormat="1" ht="12.75" customHeight="1">
      <c r="A43" s="161" t="s">
        <v>1486</v>
      </c>
      <c r="B43" s="214"/>
      <c r="C43" s="213" t="s">
        <v>534</v>
      </c>
      <c r="D43" s="215"/>
      <c r="E43" s="102">
        <v>0</v>
      </c>
      <c r="F43" s="102">
        <v>0</v>
      </c>
      <c r="G43" s="102">
        <v>64613.34</v>
      </c>
      <c r="H43" s="102">
        <f t="shared" si="1"/>
        <v>64613.34</v>
      </c>
      <c r="I43" s="102">
        <f t="shared" si="2"/>
        <v>64613.34</v>
      </c>
      <c r="J43" s="161"/>
    </row>
    <row r="44" spans="1:10" s="278" customFormat="1" ht="12.75" customHeight="1">
      <c r="A44" s="161" t="s">
        <v>1486</v>
      </c>
      <c r="B44" s="214"/>
      <c r="C44" s="213" t="s">
        <v>535</v>
      </c>
      <c r="D44" s="215"/>
      <c r="E44" s="102">
        <v>0</v>
      </c>
      <c r="F44" s="102">
        <v>0</v>
      </c>
      <c r="G44" s="102">
        <v>53689.06</v>
      </c>
      <c r="H44" s="102">
        <f t="shared" si="1"/>
        <v>53689.06</v>
      </c>
      <c r="I44" s="102">
        <f t="shared" si="2"/>
        <v>53689.06</v>
      </c>
      <c r="J44" s="161"/>
    </row>
    <row r="45" spans="1:10" s="278" customFormat="1" ht="12.75" customHeight="1">
      <c r="A45" s="161" t="s">
        <v>1486</v>
      </c>
      <c r="B45" s="214"/>
      <c r="C45" s="213" t="s">
        <v>536</v>
      </c>
      <c r="D45" s="215"/>
      <c r="E45" s="102">
        <v>0</v>
      </c>
      <c r="F45" s="102">
        <v>-3072.72</v>
      </c>
      <c r="G45" s="102">
        <v>2266678.47</v>
      </c>
      <c r="H45" s="102">
        <f t="shared" si="1"/>
        <v>2263605.75</v>
      </c>
      <c r="I45" s="102">
        <f t="shared" si="2"/>
        <v>2263605.75</v>
      </c>
      <c r="J45" s="161"/>
    </row>
    <row r="46" spans="1:10" s="278" customFormat="1" ht="12.75" customHeight="1">
      <c r="A46" s="161" t="s">
        <v>1486</v>
      </c>
      <c r="B46" s="214"/>
      <c r="C46" s="213" t="s">
        <v>537</v>
      </c>
      <c r="D46" s="215"/>
      <c r="E46" s="102">
        <v>0</v>
      </c>
      <c r="F46" s="102">
        <v>-84048.37</v>
      </c>
      <c r="G46" s="102">
        <v>691492.39</v>
      </c>
      <c r="H46" s="102">
        <v>549818</v>
      </c>
      <c r="I46" s="102">
        <f t="shared" si="2"/>
        <v>549818</v>
      </c>
      <c r="J46" s="161"/>
    </row>
    <row r="47" spans="1:10" s="278" customFormat="1" ht="12.75" customHeight="1">
      <c r="A47" s="161" t="s">
        <v>1486</v>
      </c>
      <c r="B47" s="214"/>
      <c r="C47" s="213" t="s">
        <v>538</v>
      </c>
      <c r="D47" s="215"/>
      <c r="E47" s="102">
        <v>0</v>
      </c>
      <c r="F47" s="102">
        <v>0</v>
      </c>
      <c r="G47" s="102">
        <v>0</v>
      </c>
      <c r="H47" s="102">
        <f>F47+G47</f>
        <v>0</v>
      </c>
      <c r="I47" s="102">
        <f t="shared" si="2"/>
        <v>0</v>
      </c>
      <c r="J47" s="161"/>
    </row>
    <row r="48" spans="1:10" s="278" customFormat="1" ht="12.75" customHeight="1">
      <c r="A48" s="160"/>
      <c r="B48" s="219"/>
      <c r="C48" s="220" t="s">
        <v>539</v>
      </c>
      <c r="D48" s="74"/>
      <c r="E48" s="104">
        <v>0</v>
      </c>
      <c r="F48" s="104">
        <f>F32+F33+F34+F35+F36+F37+F38+F39+F40+F41+F42+F43+F44+F45+F46+F47</f>
        <v>-51532.09</v>
      </c>
      <c r="G48" s="104">
        <v>13912442</v>
      </c>
      <c r="H48" s="104">
        <f>F48+G48</f>
        <v>13860909.91</v>
      </c>
      <c r="I48" s="104">
        <f t="shared" si="2"/>
        <v>13860909.91</v>
      </c>
      <c r="J48" s="160"/>
    </row>
    <row r="49" spans="1:10" s="278" customFormat="1" ht="12.75" customHeight="1">
      <c r="A49" s="160"/>
      <c r="B49" s="219"/>
      <c r="C49" s="220"/>
      <c r="D49" s="74"/>
      <c r="E49" s="104"/>
      <c r="F49" s="104"/>
      <c r="G49" s="104"/>
      <c r="H49" s="104"/>
      <c r="I49" s="104"/>
      <c r="J49" s="160"/>
    </row>
    <row r="50" spans="1:9" ht="76.5" hidden="1" outlineLevel="1">
      <c r="A50" s="243" t="s">
        <v>540</v>
      </c>
      <c r="C50" s="173" t="s">
        <v>541</v>
      </c>
      <c r="E50" s="221"/>
      <c r="F50" s="221"/>
      <c r="G50" s="221"/>
      <c r="H50" s="222">
        <v>3057010.79</v>
      </c>
      <c r="I50" s="222">
        <f aca="true" t="shared" si="3" ref="I50:I56">E50+H50</f>
        <v>3057010.79</v>
      </c>
    </row>
    <row r="51" spans="1:9" ht="76.5" hidden="1" outlineLevel="1">
      <c r="A51" s="243" t="s">
        <v>542</v>
      </c>
      <c r="C51" s="173" t="s">
        <v>543</v>
      </c>
      <c r="E51" s="221"/>
      <c r="F51" s="221"/>
      <c r="G51" s="221"/>
      <c r="H51" s="222">
        <v>-115</v>
      </c>
      <c r="I51" s="222">
        <f t="shared" si="3"/>
        <v>-115</v>
      </c>
    </row>
    <row r="52" spans="1:10" s="278" customFormat="1" ht="12.75" customHeight="1" collapsed="1">
      <c r="A52" s="161" t="s">
        <v>544</v>
      </c>
      <c r="B52" s="214"/>
      <c r="C52" s="213" t="s">
        <v>1547</v>
      </c>
      <c r="D52" s="215"/>
      <c r="E52" s="102">
        <v>0</v>
      </c>
      <c r="F52" s="102"/>
      <c r="G52" s="102"/>
      <c r="H52" s="102">
        <v>3056895.79</v>
      </c>
      <c r="I52" s="102">
        <f t="shared" si="3"/>
        <v>3056895.79</v>
      </c>
      <c r="J52" s="161"/>
    </row>
    <row r="53" spans="1:9" ht="76.5" hidden="1" outlineLevel="1">
      <c r="A53" s="243" t="s">
        <v>545</v>
      </c>
      <c r="C53" s="173" t="s">
        <v>546</v>
      </c>
      <c r="E53" s="221"/>
      <c r="F53" s="221"/>
      <c r="G53" s="221"/>
      <c r="H53" s="222">
        <v>94825.78</v>
      </c>
      <c r="I53" s="222">
        <f t="shared" si="3"/>
        <v>94825.78</v>
      </c>
    </row>
    <row r="54" spans="1:9" ht="76.5" hidden="1" outlineLevel="1">
      <c r="A54" s="243" t="s">
        <v>547</v>
      </c>
      <c r="C54" s="173" t="s">
        <v>548</v>
      </c>
      <c r="E54" s="221"/>
      <c r="F54" s="221"/>
      <c r="G54" s="221"/>
      <c r="H54" s="222">
        <v>4645113.3</v>
      </c>
      <c r="I54" s="222">
        <f t="shared" si="3"/>
        <v>4645113.3</v>
      </c>
    </row>
    <row r="55" spans="1:10" s="278" customFormat="1" ht="12.75" customHeight="1" collapsed="1">
      <c r="A55" s="161" t="s">
        <v>549</v>
      </c>
      <c r="B55" s="214"/>
      <c r="C55" s="213" t="s">
        <v>1548</v>
      </c>
      <c r="D55" s="215"/>
      <c r="E55" s="102">
        <v>0</v>
      </c>
      <c r="F55" s="102"/>
      <c r="G55" s="102"/>
      <c r="H55" s="102">
        <v>4739939.08</v>
      </c>
      <c r="I55" s="102">
        <f t="shared" si="3"/>
        <v>4739939.08</v>
      </c>
      <c r="J55" s="161"/>
    </row>
    <row r="56" spans="1:10" s="278" customFormat="1" ht="12.75" customHeight="1">
      <c r="A56" s="161" t="s">
        <v>550</v>
      </c>
      <c r="B56" s="214"/>
      <c r="C56" s="213" t="s">
        <v>1965</v>
      </c>
      <c r="D56" s="215"/>
      <c r="E56" s="102">
        <v>736634.26</v>
      </c>
      <c r="F56" s="102"/>
      <c r="G56" s="102"/>
      <c r="H56" s="102">
        <v>0</v>
      </c>
      <c r="I56" s="102">
        <f t="shared" si="3"/>
        <v>736634.26</v>
      </c>
      <c r="J56" s="161"/>
    </row>
    <row r="57" spans="1:10" s="278" customFormat="1" ht="12.75" customHeight="1">
      <c r="A57" s="161"/>
      <c r="B57" s="214"/>
      <c r="C57" s="213" t="s">
        <v>551</v>
      </c>
      <c r="D57" s="215"/>
      <c r="E57" s="102"/>
      <c r="F57" s="102"/>
      <c r="G57" s="102"/>
      <c r="H57" s="102"/>
      <c r="I57" s="102"/>
      <c r="J57" s="161"/>
    </row>
    <row r="58" spans="1:10" s="278" customFormat="1" ht="12.75" customHeight="1">
      <c r="A58" s="161" t="s">
        <v>1486</v>
      </c>
      <c r="B58" s="214"/>
      <c r="C58" s="213" t="s">
        <v>552</v>
      </c>
      <c r="D58" s="215"/>
      <c r="E58" s="102">
        <v>0</v>
      </c>
      <c r="F58" s="102"/>
      <c r="G58" s="102"/>
      <c r="H58" s="102">
        <v>0</v>
      </c>
      <c r="I58" s="102">
        <f aca="true" t="shared" si="4" ref="I58:I63">E58+H58</f>
        <v>0</v>
      </c>
      <c r="J58" s="161"/>
    </row>
    <row r="59" spans="1:10" s="278" customFormat="1" ht="12.75" customHeight="1">
      <c r="A59" s="161" t="s">
        <v>1486</v>
      </c>
      <c r="B59" s="214"/>
      <c r="C59" s="213" t="s">
        <v>553</v>
      </c>
      <c r="D59" s="215"/>
      <c r="E59" s="102">
        <v>2521380.59</v>
      </c>
      <c r="F59" s="102"/>
      <c r="G59" s="102"/>
      <c r="H59" s="102">
        <v>0</v>
      </c>
      <c r="I59" s="102">
        <f t="shared" si="4"/>
        <v>2521380.59</v>
      </c>
      <c r="J59" s="161"/>
    </row>
    <row r="60" spans="1:10" s="278" customFormat="1" ht="12.75" customHeight="1">
      <c r="A60" s="161" t="s">
        <v>1486</v>
      </c>
      <c r="B60" s="214"/>
      <c r="C60" s="213" t="s">
        <v>554</v>
      </c>
      <c r="D60" s="215"/>
      <c r="E60" s="102">
        <v>6951789.62</v>
      </c>
      <c r="F60" s="102"/>
      <c r="G60" s="102"/>
      <c r="H60" s="102">
        <v>0</v>
      </c>
      <c r="I60" s="102">
        <f t="shared" si="4"/>
        <v>6951789.62</v>
      </c>
      <c r="J60" s="161"/>
    </row>
    <row r="61" spans="1:10" s="278" customFormat="1" ht="12.75" customHeight="1">
      <c r="A61" s="161" t="s">
        <v>1486</v>
      </c>
      <c r="B61" s="214"/>
      <c r="C61" s="213" t="s">
        <v>555</v>
      </c>
      <c r="D61" s="215"/>
      <c r="E61" s="102">
        <v>13716078.62</v>
      </c>
      <c r="F61" s="102"/>
      <c r="G61" s="102"/>
      <c r="H61" s="102">
        <v>0</v>
      </c>
      <c r="I61" s="102">
        <f t="shared" si="4"/>
        <v>13716078.62</v>
      </c>
      <c r="J61" s="161"/>
    </row>
    <row r="62" spans="1:10" s="278" customFormat="1" ht="12.75" customHeight="1">
      <c r="A62" s="161" t="s">
        <v>556</v>
      </c>
      <c r="B62" s="214"/>
      <c r="C62" s="213" t="s">
        <v>557</v>
      </c>
      <c r="D62" s="215"/>
      <c r="E62" s="102">
        <v>0</v>
      </c>
      <c r="F62" s="102"/>
      <c r="G62" s="102"/>
      <c r="H62" s="102">
        <v>0</v>
      </c>
      <c r="I62" s="102">
        <f t="shared" si="4"/>
        <v>0</v>
      </c>
      <c r="J62" s="161"/>
    </row>
    <row r="63" spans="1:10" s="278" customFormat="1" ht="12.75" customHeight="1">
      <c r="A63" s="161" t="s">
        <v>558</v>
      </c>
      <c r="B63" s="214"/>
      <c r="C63" s="213" t="s">
        <v>1554</v>
      </c>
      <c r="D63" s="215"/>
      <c r="E63" s="102">
        <v>0</v>
      </c>
      <c r="F63" s="102"/>
      <c r="G63" s="102"/>
      <c r="H63" s="102">
        <v>0</v>
      </c>
      <c r="I63" s="102">
        <f t="shared" si="4"/>
        <v>0</v>
      </c>
      <c r="J63" s="161"/>
    </row>
    <row r="64" spans="1:10" s="278" customFormat="1" ht="12.75" customHeight="1">
      <c r="A64" s="161" t="s">
        <v>1486</v>
      </c>
      <c r="B64" s="214"/>
      <c r="C64" s="213" t="s">
        <v>559</v>
      </c>
      <c r="D64" s="215"/>
      <c r="E64" s="102" t="s">
        <v>1486</v>
      </c>
      <c r="F64" s="102"/>
      <c r="G64" s="102"/>
      <c r="H64" s="102"/>
      <c r="I64" s="102"/>
      <c r="J64" s="161"/>
    </row>
    <row r="65" spans="1:10" s="278" customFormat="1" ht="12.75" customHeight="1">
      <c r="A65" s="34" t="s">
        <v>560</v>
      </c>
      <c r="B65" s="214"/>
      <c r="C65" s="213" t="s">
        <v>561</v>
      </c>
      <c r="D65" s="215"/>
      <c r="E65" s="102">
        <v>2181437.65</v>
      </c>
      <c r="F65" s="102"/>
      <c r="G65" s="102"/>
      <c r="H65" s="102">
        <v>-2162581.3</v>
      </c>
      <c r="I65" s="102">
        <f>E65+H65</f>
        <v>18856.350000000093</v>
      </c>
      <c r="J65" s="34"/>
    </row>
    <row r="66" spans="1:10" s="278" customFormat="1" ht="12.75" customHeight="1">
      <c r="A66" s="34" t="s">
        <v>1486</v>
      </c>
      <c r="B66" s="214"/>
      <c r="C66" s="213" t="s">
        <v>562</v>
      </c>
      <c r="D66" s="215"/>
      <c r="E66" s="102">
        <f>E72-E65</f>
        <v>2392621.48</v>
      </c>
      <c r="F66" s="102"/>
      <c r="G66" s="102"/>
      <c r="H66" s="102">
        <f>H72-H65</f>
        <v>224615.33999999985</v>
      </c>
      <c r="I66" s="102">
        <f>E66+H66</f>
        <v>2617236.82</v>
      </c>
      <c r="J66" s="34"/>
    </row>
    <row r="67" spans="1:10" s="278" customFormat="1" ht="12.75" customHeight="1">
      <c r="A67" s="29"/>
      <c r="B67" s="219"/>
      <c r="C67" s="220"/>
      <c r="D67" s="74"/>
      <c r="E67" s="152"/>
      <c r="F67" s="152"/>
      <c r="G67" s="152"/>
      <c r="H67" s="152"/>
      <c r="I67" s="152"/>
      <c r="J67" s="29"/>
    </row>
    <row r="68" spans="1:10" s="278" customFormat="1" ht="12.75" customHeight="1">
      <c r="A68" s="29"/>
      <c r="B68" s="219"/>
      <c r="C68" s="212" t="s">
        <v>563</v>
      </c>
      <c r="D68" s="65"/>
      <c r="E68" s="227">
        <f>+E28+E48+E52+E55+E56+E58+E59+E60+E61+E62+E63+E65+E66</f>
        <v>94481815.58000001</v>
      </c>
      <c r="F68" s="227"/>
      <c r="G68" s="227"/>
      <c r="H68" s="227">
        <f>+H28+H48+H52+H55+H56+H58+H59+H60+H61+H62+H63+H65+H66</f>
        <v>11154535.849999998</v>
      </c>
      <c r="I68" s="227">
        <f>+I28+I48+I52+I55+I56+I58+I59+I60+I61+I62+I63+I65+I66</f>
        <v>105636351.43</v>
      </c>
      <c r="J68" s="2"/>
    </row>
    <row r="69" spans="1:10" s="278" customFormat="1" ht="12.75">
      <c r="A69" s="2"/>
      <c r="B69" s="173"/>
      <c r="C69" s="173"/>
      <c r="D69" s="173"/>
      <c r="E69" s="173"/>
      <c r="F69" s="173"/>
      <c r="G69" s="173"/>
      <c r="H69" s="173"/>
      <c r="I69" s="173"/>
      <c r="J69" s="2"/>
    </row>
    <row r="70" spans="1:10" s="278" customFormat="1" ht="12.75">
      <c r="A70" s="2"/>
      <c r="B70" s="173"/>
      <c r="C70" s="173"/>
      <c r="D70" s="173"/>
      <c r="E70" s="172"/>
      <c r="F70" s="172"/>
      <c r="G70" s="172"/>
      <c r="H70" s="172"/>
      <c r="I70" s="172"/>
      <c r="J70" s="2"/>
    </row>
    <row r="71" spans="1:10" s="278" customFormat="1" ht="12.75" hidden="1">
      <c r="A71" s="2"/>
      <c r="B71" s="173"/>
      <c r="C71" s="173" t="s">
        <v>564</v>
      </c>
      <c r="D71" s="173"/>
      <c r="E71" s="172"/>
      <c r="F71" s="172"/>
      <c r="G71" s="172"/>
      <c r="H71" s="172"/>
      <c r="I71" s="172"/>
      <c r="J71" s="2"/>
    </row>
    <row r="72" spans="1:10" s="278" customFormat="1" ht="12.75" hidden="1">
      <c r="A72" s="2" t="s">
        <v>565</v>
      </c>
      <c r="B72" s="173"/>
      <c r="C72" s="173" t="s">
        <v>566</v>
      </c>
      <c r="D72" s="173"/>
      <c r="E72" s="172">
        <v>4574059.13</v>
      </c>
      <c r="F72" s="172"/>
      <c r="G72" s="172"/>
      <c r="H72" s="172">
        <v>-1937965.96</v>
      </c>
      <c r="I72" s="172"/>
      <c r="J72" s="2"/>
    </row>
    <row r="73" spans="5:7" ht="12.75">
      <c r="E73" s="172"/>
      <c r="F73" s="172"/>
      <c r="G73" s="172"/>
    </row>
    <row r="74" spans="5:7" ht="12.75">
      <c r="E74" s="172"/>
      <c r="F74" s="172"/>
      <c r="G74" s="172"/>
    </row>
    <row r="75" spans="5:7" ht="12.75">
      <c r="E75" s="172"/>
      <c r="F75" s="172"/>
      <c r="G75" s="172"/>
    </row>
    <row r="76" spans="5:7" ht="12.75">
      <c r="E76" s="172"/>
      <c r="F76" s="172"/>
      <c r="G76" s="172"/>
    </row>
    <row r="77" spans="5:7" ht="12.75">
      <c r="E77" s="172"/>
      <c r="F77" s="172"/>
      <c r="G77" s="172"/>
    </row>
    <row r="78" spans="5:7" ht="12.75">
      <c r="E78" s="172"/>
      <c r="F78" s="172"/>
      <c r="G78" s="172"/>
    </row>
    <row r="79" spans="5:7" ht="12.75">
      <c r="E79" s="172"/>
      <c r="F79" s="172"/>
      <c r="G79" s="172"/>
    </row>
    <row r="80" spans="5:7" ht="12.75">
      <c r="E80" s="172"/>
      <c r="F80" s="172"/>
      <c r="G80" s="172"/>
    </row>
    <row r="81" spans="5:7" ht="12.75">
      <c r="E81" s="172"/>
      <c r="F81" s="172"/>
      <c r="G81" s="172"/>
    </row>
    <row r="82" spans="5:7" ht="12.75">
      <c r="E82" s="172"/>
      <c r="F82" s="172"/>
      <c r="G82" s="172"/>
    </row>
    <row r="83" spans="5:7" ht="12.75">
      <c r="E83" s="172"/>
      <c r="F83" s="172"/>
      <c r="G83" s="172"/>
    </row>
    <row r="84" spans="5:7" ht="12.75">
      <c r="E84" s="172"/>
      <c r="F84" s="172"/>
      <c r="G84" s="172"/>
    </row>
    <row r="85" spans="5:7" ht="12.75">
      <c r="E85" s="172"/>
      <c r="F85" s="172"/>
      <c r="G85" s="172"/>
    </row>
    <row r="86" spans="5:7" ht="12.75">
      <c r="E86" s="172"/>
      <c r="F86" s="172"/>
      <c r="G86" s="172"/>
    </row>
    <row r="87" spans="5:7" ht="12.75">
      <c r="E87" s="172"/>
      <c r="F87" s="172"/>
      <c r="G87" s="172"/>
    </row>
    <row r="88" spans="5:7" ht="12.75">
      <c r="E88" s="172"/>
      <c r="F88" s="172"/>
      <c r="G88" s="172"/>
    </row>
    <row r="89" spans="5:7" ht="12.75">
      <c r="E89" s="172"/>
      <c r="F89" s="172"/>
      <c r="G89" s="172"/>
    </row>
    <row r="90" spans="5:7" ht="12.75">
      <c r="E90" s="172"/>
      <c r="F90" s="172"/>
      <c r="G90" s="172"/>
    </row>
    <row r="91" spans="5:7" ht="12.75">
      <c r="E91" s="172"/>
      <c r="F91" s="172"/>
      <c r="G91" s="172"/>
    </row>
    <row r="92" spans="5:7" ht="12.75">
      <c r="E92" s="172"/>
      <c r="F92" s="172"/>
      <c r="G92" s="172"/>
    </row>
    <row r="93" spans="5:7" ht="12.75">
      <c r="E93" s="172"/>
      <c r="F93" s="172"/>
      <c r="G93" s="172"/>
    </row>
    <row r="94" spans="5:7" ht="12.75">
      <c r="E94" s="172"/>
      <c r="F94" s="172"/>
      <c r="G94" s="172"/>
    </row>
    <row r="95" spans="5:7" ht="12.75">
      <c r="E95" s="172"/>
      <c r="F95" s="172"/>
      <c r="G95" s="172"/>
    </row>
    <row r="96" spans="5:7" ht="12.75">
      <c r="E96" s="172"/>
      <c r="F96" s="172"/>
      <c r="G96" s="172"/>
    </row>
    <row r="97" spans="5:7" ht="12.75">
      <c r="E97" s="172"/>
      <c r="F97" s="172"/>
      <c r="G97" s="172"/>
    </row>
    <row r="98" spans="5:7" ht="12.75">
      <c r="E98" s="172"/>
      <c r="F98" s="172"/>
      <c r="G98" s="172"/>
    </row>
    <row r="99" spans="5:7" ht="12.75">
      <c r="E99" s="172"/>
      <c r="F99" s="172"/>
      <c r="G99" s="172"/>
    </row>
    <row r="100" spans="5:7" ht="12.75">
      <c r="E100" s="172"/>
      <c r="F100" s="172"/>
      <c r="G100" s="172"/>
    </row>
    <row r="101" spans="5:7" ht="12.75">
      <c r="E101" s="172"/>
      <c r="F101" s="172"/>
      <c r="G101" s="172"/>
    </row>
    <row r="102" spans="5:7" ht="12.75">
      <c r="E102" s="172"/>
      <c r="F102" s="172"/>
      <c r="G102" s="172"/>
    </row>
    <row r="103" spans="5:7" ht="12.75">
      <c r="E103" s="172"/>
      <c r="F103" s="172"/>
      <c r="G103" s="172"/>
    </row>
    <row r="104" spans="5:7" ht="12.75">
      <c r="E104" s="172"/>
      <c r="F104" s="172"/>
      <c r="G104" s="172"/>
    </row>
    <row r="105" spans="5:7" ht="12.75">
      <c r="E105" s="172"/>
      <c r="F105" s="172"/>
      <c r="G105" s="172"/>
    </row>
    <row r="106" spans="5:7" ht="12.75">
      <c r="E106" s="172"/>
      <c r="F106" s="172"/>
      <c r="G106" s="172"/>
    </row>
    <row r="107" spans="5:7" ht="12.75">
      <c r="E107" s="172"/>
      <c r="F107" s="172"/>
      <c r="G107" s="172"/>
    </row>
    <row r="108" spans="5:7" ht="12.75">
      <c r="E108" s="172"/>
      <c r="F108" s="172"/>
      <c r="G108" s="172"/>
    </row>
    <row r="109" spans="5:7" ht="12.75">
      <c r="E109" s="172"/>
      <c r="F109" s="172"/>
      <c r="G109" s="172"/>
    </row>
    <row r="110" spans="5:7" ht="12.75">
      <c r="E110" s="172"/>
      <c r="F110" s="172"/>
      <c r="G110" s="172"/>
    </row>
    <row r="111" spans="5:7" ht="12.75">
      <c r="E111" s="172"/>
      <c r="F111" s="172"/>
      <c r="G111" s="172"/>
    </row>
    <row r="112" spans="5:7" ht="12.75">
      <c r="E112" s="172"/>
      <c r="F112" s="172"/>
      <c r="G112" s="172"/>
    </row>
    <row r="113" spans="5:7" ht="12.75">
      <c r="E113" s="172"/>
      <c r="F113" s="172"/>
      <c r="G113" s="172"/>
    </row>
    <row r="114" spans="5:7" ht="12.75">
      <c r="E114" s="172"/>
      <c r="F114" s="172"/>
      <c r="G114" s="172"/>
    </row>
    <row r="115" spans="5:7" ht="12.75">
      <c r="E115" s="172"/>
      <c r="F115" s="172"/>
      <c r="G115" s="172"/>
    </row>
    <row r="116" spans="5:7" ht="12.75">
      <c r="E116" s="172"/>
      <c r="F116" s="172"/>
      <c r="G116" s="172"/>
    </row>
    <row r="117" spans="5:7" ht="12.75">
      <c r="E117" s="172"/>
      <c r="F117" s="172"/>
      <c r="G117" s="172"/>
    </row>
    <row r="118" spans="5:7" ht="12.75">
      <c r="E118" s="172"/>
      <c r="F118" s="172"/>
      <c r="G118" s="172"/>
    </row>
    <row r="119" spans="5:7" ht="12.75">
      <c r="E119" s="172"/>
      <c r="F119" s="172"/>
      <c r="G119" s="172"/>
    </row>
    <row r="120" spans="5:7" ht="12.75">
      <c r="E120" s="172"/>
      <c r="F120" s="172"/>
      <c r="G120" s="172"/>
    </row>
    <row r="121" spans="5:7" ht="12.75">
      <c r="E121" s="172"/>
      <c r="F121" s="172"/>
      <c r="G121" s="172"/>
    </row>
    <row r="122" spans="5:7" ht="12.75">
      <c r="E122" s="172"/>
      <c r="F122" s="172"/>
      <c r="G122" s="172"/>
    </row>
    <row r="123" spans="5:7" ht="12.75">
      <c r="E123" s="172"/>
      <c r="F123" s="172"/>
      <c r="G123" s="172"/>
    </row>
    <row r="124" spans="5:7" ht="12.75">
      <c r="E124" s="172"/>
      <c r="F124" s="172"/>
      <c r="G124" s="172"/>
    </row>
    <row r="125" spans="5:7" ht="12.75">
      <c r="E125" s="172"/>
      <c r="F125" s="172"/>
      <c r="G125" s="172"/>
    </row>
    <row r="126" spans="5:7" ht="12.75">
      <c r="E126" s="172"/>
      <c r="F126" s="172"/>
      <c r="G126" s="172"/>
    </row>
    <row r="127" spans="5:7" ht="12.75">
      <c r="E127" s="172"/>
      <c r="F127" s="172"/>
      <c r="G127" s="172"/>
    </row>
    <row r="128" spans="5:7" ht="12.75">
      <c r="E128" s="172"/>
      <c r="F128" s="172"/>
      <c r="G128" s="172"/>
    </row>
    <row r="129" spans="5:7" ht="12.75">
      <c r="E129" s="172"/>
      <c r="F129" s="172"/>
      <c r="G129" s="172"/>
    </row>
    <row r="130" spans="5:7" ht="12.75">
      <c r="E130" s="172"/>
      <c r="F130" s="172"/>
      <c r="G130" s="172"/>
    </row>
    <row r="131" spans="5:7" ht="12.75">
      <c r="E131" s="172"/>
      <c r="F131" s="172"/>
      <c r="G131" s="172"/>
    </row>
    <row r="132" spans="5:7" ht="12.75">
      <c r="E132" s="172"/>
      <c r="F132" s="172"/>
      <c r="G132" s="172"/>
    </row>
    <row r="133" spans="5:7" ht="12.75">
      <c r="E133" s="172"/>
      <c r="F133" s="172"/>
      <c r="G133" s="172"/>
    </row>
    <row r="134" spans="5:7" ht="12.75">
      <c r="E134" s="172"/>
      <c r="F134" s="172"/>
      <c r="G134" s="172"/>
    </row>
    <row r="135" spans="5:7" ht="12.75">
      <c r="E135" s="172"/>
      <c r="F135" s="172"/>
      <c r="G135" s="172"/>
    </row>
    <row r="136" spans="5:7" ht="12.75">
      <c r="E136" s="172"/>
      <c r="F136" s="172"/>
      <c r="G136" s="172"/>
    </row>
    <row r="137" spans="5:7" ht="12.75">
      <c r="E137" s="172"/>
      <c r="F137" s="172"/>
      <c r="G137" s="172"/>
    </row>
    <row r="138" spans="5:7" ht="12.75">
      <c r="E138" s="172"/>
      <c r="F138" s="172"/>
      <c r="G138" s="172"/>
    </row>
    <row r="139" spans="5:7" ht="12.75">
      <c r="E139" s="172"/>
      <c r="F139" s="172"/>
      <c r="G139" s="172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95" zoomScaleNormal="95" workbookViewId="0" topLeftCell="B2">
      <selection activeCell="B7" sqref="B7"/>
    </sheetView>
  </sheetViews>
  <sheetFormatPr defaultColWidth="9.140625" defaultRowHeight="12.75"/>
  <cols>
    <col min="1" max="1" width="2.140625" style="279" hidden="1" customWidth="1"/>
    <col min="2" max="2" width="68.7109375" style="279" customWidth="1"/>
    <col min="3" max="8" width="18.7109375" style="280" customWidth="1"/>
    <col min="9" max="9" width="15.28125" style="279" hidden="1" customWidth="1"/>
    <col min="10" max="15" width="0" style="279" hidden="1" customWidth="1"/>
    <col min="16" max="16" width="13.7109375" style="279" hidden="1" customWidth="1"/>
    <col min="17" max="18" width="10.28125" style="279" hidden="1" customWidth="1"/>
    <col min="19" max="16384" width="10.28125" style="279" customWidth="1"/>
  </cols>
  <sheetData>
    <row r="1" spans="1:6" ht="12" hidden="1">
      <c r="A1" s="279" t="s">
        <v>567</v>
      </c>
      <c r="C1" s="280" t="s">
        <v>568</v>
      </c>
      <c r="D1" s="280" t="s">
        <v>569</v>
      </c>
      <c r="E1" s="280" t="s">
        <v>570</v>
      </c>
      <c r="F1" s="280" t="s">
        <v>1486</v>
      </c>
    </row>
    <row r="2" spans="2:18" s="281" customFormat="1" ht="15.75" customHeight="1">
      <c r="B2" s="282" t="str">
        <f>"University of Missouri - "&amp;RBN</f>
        <v>University of Missouri - St. Louis</v>
      </c>
      <c r="C2" s="283"/>
      <c r="D2" s="283"/>
      <c r="E2" s="283"/>
      <c r="F2" s="283"/>
      <c r="G2" s="283"/>
      <c r="H2" s="284"/>
      <c r="M2" s="281" t="s">
        <v>571</v>
      </c>
      <c r="P2" s="285" t="s">
        <v>572</v>
      </c>
      <c r="R2" s="281" t="s">
        <v>1657</v>
      </c>
    </row>
    <row r="3" spans="2:16" s="281" customFormat="1" ht="15.75" customHeight="1">
      <c r="B3" s="286" t="s">
        <v>573</v>
      </c>
      <c r="C3" s="287"/>
      <c r="D3" s="288"/>
      <c r="E3" s="287"/>
      <c r="F3" s="287"/>
      <c r="G3" s="287"/>
      <c r="H3" s="289"/>
      <c r="M3" s="281" t="s">
        <v>574</v>
      </c>
      <c r="P3" s="290">
        <f ca="1">NOW()</f>
        <v>38440.637515856484</v>
      </c>
    </row>
    <row r="4" spans="2:16" ht="15.75" customHeight="1">
      <c r="B4" s="291" t="str">
        <f>"For the Year Ending "&amp;TEXT(M4,"MMMM DD, YYYY")</f>
        <v>For the Year Ending June 30, 2004</v>
      </c>
      <c r="C4" s="292"/>
      <c r="D4" s="293"/>
      <c r="E4" s="292"/>
      <c r="F4" s="292"/>
      <c r="G4" s="292"/>
      <c r="H4" s="294"/>
      <c r="M4" s="279" t="s">
        <v>1656</v>
      </c>
      <c r="P4" s="295">
        <f ca="1">NOW()</f>
        <v>38440.637515856484</v>
      </c>
    </row>
    <row r="5" spans="2:9" ht="12.75" customHeight="1">
      <c r="B5" s="296"/>
      <c r="C5" s="297"/>
      <c r="D5" s="298"/>
      <c r="E5" s="297"/>
      <c r="F5" s="297"/>
      <c r="G5" s="297"/>
      <c r="H5" s="299"/>
      <c r="I5" s="300"/>
    </row>
    <row r="6" spans="2:8" ht="38.25" customHeight="1">
      <c r="B6" s="301"/>
      <c r="C6" s="302" t="s">
        <v>575</v>
      </c>
      <c r="D6" s="303" t="s">
        <v>2074</v>
      </c>
      <c r="E6" s="304" t="s">
        <v>2666</v>
      </c>
      <c r="F6" s="304" t="s">
        <v>1561</v>
      </c>
      <c r="G6" s="304" t="s">
        <v>576</v>
      </c>
      <c r="H6" s="303" t="s">
        <v>1661</v>
      </c>
    </row>
    <row r="7" spans="2:8" ht="12.75" customHeight="1">
      <c r="B7" s="301"/>
      <c r="C7" s="305"/>
      <c r="D7" s="306"/>
      <c r="E7" s="304"/>
      <c r="F7" s="304"/>
      <c r="G7" s="304"/>
      <c r="H7" s="306"/>
    </row>
    <row r="8" spans="2:8" ht="12.75" customHeight="1">
      <c r="B8" s="307" t="s">
        <v>577</v>
      </c>
      <c r="C8" s="308"/>
      <c r="D8" s="309"/>
      <c r="E8" s="310"/>
      <c r="F8" s="311" t="s">
        <v>578</v>
      </c>
      <c r="G8" s="310"/>
      <c r="H8" s="312"/>
    </row>
    <row r="9" spans="2:8" ht="12.75" customHeight="1">
      <c r="B9" s="301"/>
      <c r="C9" s="313"/>
      <c r="D9" s="312"/>
      <c r="E9" s="312"/>
      <c r="F9" s="312"/>
      <c r="G9" s="312"/>
      <c r="H9" s="312"/>
    </row>
    <row r="10" spans="1:8" ht="12.75" customHeight="1">
      <c r="A10" s="279" t="s">
        <v>579</v>
      </c>
      <c r="B10" s="301" t="s">
        <v>580</v>
      </c>
      <c r="C10" s="314">
        <v>42570773</v>
      </c>
      <c r="D10" s="315">
        <v>9682403.55</v>
      </c>
      <c r="E10" s="315">
        <v>15380328.79</v>
      </c>
      <c r="F10" s="315">
        <v>0</v>
      </c>
      <c r="G10" s="315">
        <v>0</v>
      </c>
      <c r="H10" s="315">
        <f>C10+D10+E10+F10+G10</f>
        <v>67633505.34</v>
      </c>
    </row>
    <row r="11" spans="2:8" ht="12.75" customHeight="1">
      <c r="B11" s="301"/>
      <c r="C11" s="316"/>
      <c r="D11" s="317"/>
      <c r="E11" s="317"/>
      <c r="F11" s="317"/>
      <c r="G11" s="317"/>
      <c r="H11" s="317"/>
    </row>
    <row r="12" spans="1:8" ht="12.75" customHeight="1">
      <c r="A12" s="279" t="s">
        <v>581</v>
      </c>
      <c r="B12" s="301" t="s">
        <v>582</v>
      </c>
      <c r="C12" s="318">
        <v>4752910.04</v>
      </c>
      <c r="D12" s="319">
        <v>979560.88</v>
      </c>
      <c r="E12" s="319">
        <v>3158901.05</v>
      </c>
      <c r="F12" s="319">
        <v>0</v>
      </c>
      <c r="G12" s="319">
        <v>0</v>
      </c>
      <c r="H12" s="319">
        <f>C12+D12+E12+F12+G12</f>
        <v>8891371.969999999</v>
      </c>
    </row>
    <row r="13" spans="2:8" ht="12.75" customHeight="1">
      <c r="B13" s="301"/>
      <c r="C13" s="318"/>
      <c r="D13" s="319"/>
      <c r="E13" s="319"/>
      <c r="F13" s="319"/>
      <c r="G13" s="319"/>
      <c r="H13" s="319"/>
    </row>
    <row r="14" spans="1:8" ht="12.75" customHeight="1">
      <c r="A14" s="279" t="s">
        <v>583</v>
      </c>
      <c r="B14" s="301" t="s">
        <v>584</v>
      </c>
      <c r="C14" s="318">
        <v>6549292.22</v>
      </c>
      <c r="D14" s="319">
        <v>1553693.82</v>
      </c>
      <c r="E14" s="319">
        <v>3702809.7</v>
      </c>
      <c r="F14" s="319">
        <v>0</v>
      </c>
      <c r="G14" s="319">
        <v>0</v>
      </c>
      <c r="H14" s="319">
        <f>C14+D14+E14+F14+G14</f>
        <v>11805795.74</v>
      </c>
    </row>
    <row r="15" spans="2:8" ht="12.75" customHeight="1">
      <c r="B15" s="301"/>
      <c r="C15" s="318"/>
      <c r="D15" s="319"/>
      <c r="E15" s="319"/>
      <c r="F15" s="319"/>
      <c r="G15" s="319"/>
      <c r="H15" s="319"/>
    </row>
    <row r="16" spans="1:8" ht="12.75" customHeight="1">
      <c r="A16" s="279" t="s">
        <v>585</v>
      </c>
      <c r="B16" s="301" t="s">
        <v>586</v>
      </c>
      <c r="C16" s="318">
        <v>9362570.66</v>
      </c>
      <c r="D16" s="319">
        <v>2372265.1</v>
      </c>
      <c r="E16" s="319">
        <v>1678926.81</v>
      </c>
      <c r="F16" s="319">
        <v>0</v>
      </c>
      <c r="G16" s="319">
        <v>0</v>
      </c>
      <c r="H16" s="319">
        <f>C16+D16+E16+F16+G16</f>
        <v>13413762.57</v>
      </c>
    </row>
    <row r="17" spans="2:8" ht="12.75" customHeight="1">
      <c r="B17" s="301"/>
      <c r="C17" s="318"/>
      <c r="D17" s="319"/>
      <c r="E17" s="319"/>
      <c r="F17" s="319"/>
      <c r="G17" s="319"/>
      <c r="H17" s="319"/>
    </row>
    <row r="18" spans="1:8" ht="12.75" customHeight="1">
      <c r="A18" s="279" t="s">
        <v>587</v>
      </c>
      <c r="B18" s="301" t="s">
        <v>588</v>
      </c>
      <c r="C18" s="318">
        <v>4550678.74</v>
      </c>
      <c r="D18" s="319">
        <v>999481.78</v>
      </c>
      <c r="E18" s="319">
        <v>4075968.84</v>
      </c>
      <c r="F18" s="319">
        <v>0</v>
      </c>
      <c r="G18" s="319">
        <v>0</v>
      </c>
      <c r="H18" s="319">
        <f>C18+D18+E18+F18+G18</f>
        <v>9626129.36</v>
      </c>
    </row>
    <row r="19" spans="2:8" ht="12.75" customHeight="1">
      <c r="B19" s="301"/>
      <c r="C19" s="318"/>
      <c r="D19" s="319"/>
      <c r="E19" s="319"/>
      <c r="F19" s="319"/>
      <c r="G19" s="319"/>
      <c r="H19" s="319"/>
    </row>
    <row r="20" spans="1:8" ht="12.75" customHeight="1">
      <c r="A20" s="279" t="s">
        <v>589</v>
      </c>
      <c r="B20" s="301" t="s">
        <v>590</v>
      </c>
      <c r="C20" s="318">
        <v>8320377.58</v>
      </c>
      <c r="D20" s="319">
        <v>2113619.49</v>
      </c>
      <c r="E20" s="319">
        <v>1212956.45</v>
      </c>
      <c r="F20" s="319">
        <v>0</v>
      </c>
      <c r="G20" s="319">
        <v>0</v>
      </c>
      <c r="H20" s="319">
        <f>C20+D20+E20+F20+G20</f>
        <v>11646953.52</v>
      </c>
    </row>
    <row r="21" spans="2:8" ht="12.75" customHeight="1">
      <c r="B21" s="301"/>
      <c r="C21" s="318"/>
      <c r="D21" s="319"/>
      <c r="E21" s="319"/>
      <c r="F21" s="319"/>
      <c r="G21" s="319"/>
      <c r="H21" s="319"/>
    </row>
    <row r="22" spans="1:8" ht="12.75" customHeight="1">
      <c r="A22" s="279" t="s">
        <v>591</v>
      </c>
      <c r="B22" s="301" t="s">
        <v>592</v>
      </c>
      <c r="C22" s="318">
        <v>3389565.72</v>
      </c>
      <c r="D22" s="319">
        <v>894264.47</v>
      </c>
      <c r="E22" s="319">
        <v>3618172.49</v>
      </c>
      <c r="F22" s="319">
        <v>0</v>
      </c>
      <c r="G22" s="319">
        <v>0</v>
      </c>
      <c r="H22" s="319">
        <f>C22+D22+E22+F22+G22</f>
        <v>7902002.680000001</v>
      </c>
    </row>
    <row r="23" spans="2:8" ht="12.75" customHeight="1">
      <c r="B23" s="301" t="s">
        <v>593</v>
      </c>
      <c r="C23" s="318"/>
      <c r="D23" s="319"/>
      <c r="E23" s="319"/>
      <c r="F23" s="319"/>
      <c r="G23" s="319"/>
      <c r="H23" s="319"/>
    </row>
    <row r="24" spans="1:8" ht="12.75" customHeight="1">
      <c r="A24" s="279" t="s">
        <v>1486</v>
      </c>
      <c r="B24" s="301" t="s">
        <v>594</v>
      </c>
      <c r="C24" s="318">
        <v>0</v>
      </c>
      <c r="D24" s="319">
        <v>0</v>
      </c>
      <c r="E24" s="319">
        <v>0</v>
      </c>
      <c r="F24" s="319">
        <v>3836000</v>
      </c>
      <c r="G24" s="319">
        <v>0</v>
      </c>
      <c r="H24" s="319">
        <f>C24+D24+E24+F24+G24</f>
        <v>3836000</v>
      </c>
    </row>
    <row r="25" spans="2:8" ht="12.75" customHeight="1">
      <c r="B25" s="301"/>
      <c r="C25" s="318"/>
      <c r="D25" s="319"/>
      <c r="E25" s="319"/>
      <c r="F25" s="319"/>
      <c r="G25" s="319"/>
      <c r="H25" s="319"/>
    </row>
    <row r="26" spans="2:8" s="320" customFormat="1" ht="12.75" customHeight="1">
      <c r="B26" s="307" t="s">
        <v>595</v>
      </c>
      <c r="C26" s="321">
        <f aca="true" t="shared" si="0" ref="C26:H26">+C24+C22+C20+C18+C16+C14+C12+C10</f>
        <v>79496167.96000001</v>
      </c>
      <c r="D26" s="321">
        <f t="shared" si="0"/>
        <v>18595289.090000004</v>
      </c>
      <c r="E26" s="321">
        <f t="shared" si="0"/>
        <v>32828064.130000003</v>
      </c>
      <c r="F26" s="321">
        <f t="shared" si="0"/>
        <v>3836000</v>
      </c>
      <c r="G26" s="321">
        <f t="shared" si="0"/>
        <v>0</v>
      </c>
      <c r="H26" s="321">
        <f t="shared" si="0"/>
        <v>134755521.18</v>
      </c>
    </row>
    <row r="27" spans="2:8" ht="12.75" customHeight="1">
      <c r="B27" s="301"/>
      <c r="C27" s="318"/>
      <c r="D27" s="319"/>
      <c r="E27" s="319"/>
      <c r="F27" s="319"/>
      <c r="G27" s="319"/>
      <c r="H27" s="319"/>
    </row>
    <row r="28" spans="1:8" ht="12.75" customHeight="1">
      <c r="A28" s="279" t="s">
        <v>596</v>
      </c>
      <c r="B28" s="301" t="s">
        <v>597</v>
      </c>
      <c r="C28" s="318">
        <v>3439658.51</v>
      </c>
      <c r="D28" s="319">
        <v>735914.02</v>
      </c>
      <c r="E28" s="319">
        <v>14132612.77</v>
      </c>
      <c r="F28" s="319">
        <v>0</v>
      </c>
      <c r="G28" s="319">
        <v>0</v>
      </c>
      <c r="H28" s="319">
        <f>C28+D28+E28+F28+G28</f>
        <v>18308185.3</v>
      </c>
    </row>
    <row r="29" spans="2:8" ht="12.75" customHeight="1">
      <c r="B29" s="301"/>
      <c r="C29" s="318"/>
      <c r="D29" s="319"/>
      <c r="E29" s="319"/>
      <c r="F29" s="319"/>
      <c r="G29" s="319"/>
      <c r="H29" s="319"/>
    </row>
    <row r="30" spans="2:8" s="320" customFormat="1" ht="12.75" customHeight="1">
      <c r="B30" s="307" t="s">
        <v>598</v>
      </c>
      <c r="C30" s="321">
        <f aca="true" t="shared" si="1" ref="C30:H30">C28+C26</f>
        <v>82935826.47000001</v>
      </c>
      <c r="D30" s="321">
        <f t="shared" si="1"/>
        <v>19331203.110000003</v>
      </c>
      <c r="E30" s="321">
        <f t="shared" si="1"/>
        <v>46960676.900000006</v>
      </c>
      <c r="F30" s="321">
        <f t="shared" si="1"/>
        <v>3836000</v>
      </c>
      <c r="G30" s="321">
        <f t="shared" si="1"/>
        <v>0</v>
      </c>
      <c r="H30" s="321">
        <f t="shared" si="1"/>
        <v>153063706.48000002</v>
      </c>
    </row>
    <row r="31" spans="2:8" ht="12.75" customHeight="1">
      <c r="B31" s="301"/>
      <c r="C31" s="318"/>
      <c r="D31" s="319"/>
      <c r="E31" s="319"/>
      <c r="F31" s="319"/>
      <c r="G31" s="319"/>
      <c r="H31" s="319"/>
    </row>
    <row r="32" spans="1:8" ht="12.75" customHeight="1">
      <c r="A32" s="279" t="s">
        <v>599</v>
      </c>
      <c r="B32" s="307" t="s">
        <v>600</v>
      </c>
      <c r="C32" s="322">
        <v>0</v>
      </c>
      <c r="D32" s="322">
        <v>0</v>
      </c>
      <c r="E32" s="322">
        <v>19004.35</v>
      </c>
      <c r="F32" s="322">
        <v>0</v>
      </c>
      <c r="G32" s="322">
        <v>0</v>
      </c>
      <c r="H32" s="322">
        <f>C32+D32+E32+F32+G32</f>
        <v>19004.35</v>
      </c>
    </row>
    <row r="33" spans="2:8" ht="12.75" customHeight="1">
      <c r="B33" s="307"/>
      <c r="C33" s="322"/>
      <c r="D33" s="322"/>
      <c r="E33" s="322"/>
      <c r="F33" s="322"/>
      <c r="G33" s="322"/>
      <c r="H33" s="322"/>
    </row>
    <row r="34" spans="1:8" ht="12.75" customHeight="1">
      <c r="A34" s="279" t="s">
        <v>601</v>
      </c>
      <c r="B34" s="307" t="s">
        <v>602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f>C34+D34+E34+F34+G34</f>
        <v>0</v>
      </c>
    </row>
    <row r="35" spans="2:8" ht="12.75" customHeight="1">
      <c r="B35" s="307"/>
      <c r="C35" s="322"/>
      <c r="D35" s="322"/>
      <c r="E35" s="322"/>
      <c r="F35" s="322"/>
      <c r="G35" s="322"/>
      <c r="H35" s="322"/>
    </row>
    <row r="36" spans="1:8" ht="12.75" customHeight="1">
      <c r="A36" s="279" t="s">
        <v>603</v>
      </c>
      <c r="B36" s="307" t="s">
        <v>604</v>
      </c>
      <c r="C36" s="322">
        <v>0</v>
      </c>
      <c r="D36" s="322">
        <v>0</v>
      </c>
      <c r="E36" s="322">
        <v>2838.8400000017136</v>
      </c>
      <c r="F36" s="322">
        <v>0</v>
      </c>
      <c r="G36" s="322">
        <v>0</v>
      </c>
      <c r="H36" s="322">
        <f>C36+D36+E36+F36+G36</f>
        <v>2838.8400000017136</v>
      </c>
    </row>
    <row r="37" spans="2:8" ht="12.75" customHeight="1">
      <c r="B37" s="307"/>
      <c r="C37" s="322"/>
      <c r="D37" s="322"/>
      <c r="E37" s="322"/>
      <c r="F37" s="322"/>
      <c r="G37" s="322"/>
      <c r="H37" s="322"/>
    </row>
    <row r="38" spans="2:8" ht="12.75" customHeight="1">
      <c r="B38" s="307" t="s">
        <v>576</v>
      </c>
      <c r="C38" s="322">
        <v>0</v>
      </c>
      <c r="D38" s="322">
        <v>0</v>
      </c>
      <c r="E38" s="322">
        <v>0</v>
      </c>
      <c r="F38" s="322">
        <v>0</v>
      </c>
      <c r="G38" s="322">
        <v>7910294.62</v>
      </c>
      <c r="H38" s="322">
        <f>C38+D38+E38+F38+G38</f>
        <v>7910294.62</v>
      </c>
    </row>
    <row r="39" spans="2:8" ht="12.75" customHeight="1">
      <c r="B39" s="301"/>
      <c r="C39" s="317"/>
      <c r="D39" s="317"/>
      <c r="E39" s="317"/>
      <c r="F39" s="317"/>
      <c r="G39" s="317"/>
      <c r="H39" s="317"/>
    </row>
    <row r="40" spans="2:8" s="320" customFormat="1" ht="12.75" customHeight="1">
      <c r="B40" s="307" t="s">
        <v>605</v>
      </c>
      <c r="C40" s="323">
        <f aca="true" t="shared" si="2" ref="C40:H40">C30+C32+C34+C36+C38</f>
        <v>82935826.47000001</v>
      </c>
      <c r="D40" s="323">
        <f t="shared" si="2"/>
        <v>19331203.110000003</v>
      </c>
      <c r="E40" s="323">
        <f t="shared" si="2"/>
        <v>46982520.09000001</v>
      </c>
      <c r="F40" s="323">
        <f t="shared" si="2"/>
        <v>3836000</v>
      </c>
      <c r="G40" s="323">
        <f t="shared" si="2"/>
        <v>7910294.62</v>
      </c>
      <c r="H40" s="323">
        <f t="shared" si="2"/>
        <v>160995844.29000002</v>
      </c>
    </row>
    <row r="41" spans="2:8" ht="12.75">
      <c r="B41" s="324"/>
      <c r="C41" s="325"/>
      <c r="D41" s="325"/>
      <c r="E41" s="325"/>
      <c r="F41" s="325"/>
      <c r="G41" s="325"/>
      <c r="H41" s="325"/>
    </row>
    <row r="42" spans="2:8" ht="12.75">
      <c r="B42" s="324" t="s">
        <v>606</v>
      </c>
      <c r="C42" s="325"/>
      <c r="D42" s="325"/>
      <c r="E42" s="325"/>
      <c r="F42" s="325"/>
      <c r="G42" s="325"/>
      <c r="H42" s="325"/>
    </row>
    <row r="43" spans="2:8" ht="12.75">
      <c r="B43" s="324" t="s">
        <v>607</v>
      </c>
      <c r="C43" s="325"/>
      <c r="D43" s="325"/>
      <c r="E43" s="325"/>
      <c r="F43" s="325"/>
      <c r="G43" s="325"/>
      <c r="H43" s="325"/>
    </row>
    <row r="44" spans="2:8" ht="9.75" customHeight="1">
      <c r="B44" s="324"/>
      <c r="C44" s="325"/>
      <c r="D44" s="325"/>
      <c r="E44" s="325"/>
      <c r="F44" s="325"/>
      <c r="G44" s="325"/>
      <c r="H44" s="325"/>
    </row>
    <row r="45" spans="2:8" ht="12.75">
      <c r="B45" s="324" t="s">
        <v>608</v>
      </c>
      <c r="C45" s="325"/>
      <c r="D45" s="325"/>
      <c r="E45" s="325"/>
      <c r="F45" s="325"/>
      <c r="G45" s="325"/>
      <c r="H45" s="325"/>
    </row>
    <row r="46" ht="9.75" customHeight="1"/>
    <row r="47" spans="1:18" ht="12.75">
      <c r="A47" s="326"/>
      <c r="B47" s="327" t="s">
        <v>609</v>
      </c>
      <c r="C47" s="328"/>
      <c r="D47" s="328"/>
      <c r="E47" s="328"/>
      <c r="F47" s="328"/>
      <c r="G47" s="328"/>
      <c r="H47" s="328"/>
      <c r="I47" s="326"/>
      <c r="J47" s="326"/>
      <c r="K47" s="326"/>
      <c r="L47" s="326"/>
      <c r="M47" s="326"/>
      <c r="N47" s="326"/>
      <c r="O47" s="326"/>
      <c r="P47" s="326"/>
      <c r="Q47" s="326"/>
      <c r="R47" s="326"/>
    </row>
    <row r="48" ht="9.75" customHeight="1"/>
    <row r="49" spans="1:18" ht="12.75">
      <c r="A49" s="326"/>
      <c r="B49" s="327" t="s">
        <v>610</v>
      </c>
      <c r="C49" s="328"/>
      <c r="D49" s="328"/>
      <c r="E49" s="328"/>
      <c r="F49" s="328"/>
      <c r="G49" s="328"/>
      <c r="H49" s="328"/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ht="9.75" customHeight="1"/>
    <row r="51" spans="1:18" ht="12.75">
      <c r="A51" s="326"/>
      <c r="B51" s="327" t="s">
        <v>611</v>
      </c>
      <c r="C51" s="328"/>
      <c r="D51" s="328"/>
      <c r="E51" s="328"/>
      <c r="F51" s="328"/>
      <c r="G51" s="328"/>
      <c r="H51" s="328"/>
      <c r="I51" s="326"/>
      <c r="J51" s="326"/>
      <c r="K51" s="326"/>
      <c r="L51" s="326"/>
      <c r="M51" s="326"/>
      <c r="N51" s="326"/>
      <c r="O51" s="326"/>
      <c r="P51" s="326"/>
      <c r="Q51" s="326"/>
      <c r="R51" s="326"/>
    </row>
    <row r="52" ht="9.75" customHeight="1"/>
    <row r="53" spans="1:18" ht="12.75">
      <c r="A53" s="326"/>
      <c r="B53" s="327" t="s">
        <v>612</v>
      </c>
      <c r="C53" s="328"/>
      <c r="D53" s="328"/>
      <c r="E53" s="328"/>
      <c r="F53" s="328"/>
      <c r="G53" s="328"/>
      <c r="H53" s="328"/>
      <c r="I53" s="326"/>
      <c r="J53" s="326"/>
      <c r="K53" s="326"/>
      <c r="L53" s="326"/>
      <c r="M53" s="326"/>
      <c r="N53" s="326"/>
      <c r="O53" s="326"/>
      <c r="P53" s="326"/>
      <c r="Q53" s="326"/>
      <c r="R53" s="326"/>
    </row>
    <row r="54" ht="9.75" customHeight="1"/>
    <row r="55" spans="1:18" ht="12.75">
      <c r="A55" s="326"/>
      <c r="B55" s="327" t="s">
        <v>613</v>
      </c>
      <c r="C55" s="328"/>
      <c r="D55" s="328"/>
      <c r="E55" s="328"/>
      <c r="F55" s="328"/>
      <c r="G55" s="328"/>
      <c r="H55" s="328"/>
      <c r="I55" s="326"/>
      <c r="J55" s="326"/>
      <c r="K55" s="326"/>
      <c r="L55" s="326"/>
      <c r="M55" s="326"/>
      <c r="N55" s="326"/>
      <c r="O55" s="326"/>
      <c r="P55" s="326"/>
      <c r="Q55" s="326"/>
      <c r="R55" s="326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29" hidden="1" customWidth="1"/>
    <col min="2" max="2" width="3.00390625" style="334" customWidth="1"/>
    <col min="3" max="3" width="75.00390625" style="359" customWidth="1"/>
    <col min="4" max="7" width="18.7109375" style="360" customWidth="1"/>
    <col min="8" max="8" width="18.7109375" style="329" customWidth="1"/>
    <col min="9" max="9" width="13.421875" style="329" hidden="1" customWidth="1"/>
    <col min="10" max="12" width="10.28125" style="329" hidden="1" customWidth="1"/>
    <col min="13" max="16384" width="10.28125" style="329" customWidth="1"/>
  </cols>
  <sheetData>
    <row r="1" spans="1:8" ht="12.75" hidden="1">
      <c r="A1" s="329" t="s">
        <v>567</v>
      </c>
      <c r="B1" s="330"/>
      <c r="C1" s="331" t="s">
        <v>1487</v>
      </c>
      <c r="D1" s="332" t="s">
        <v>614</v>
      </c>
      <c r="E1" s="332" t="s">
        <v>615</v>
      </c>
      <c r="F1" s="332" t="s">
        <v>616</v>
      </c>
      <c r="G1" s="332" t="s">
        <v>617</v>
      </c>
      <c r="H1" s="333" t="s">
        <v>1488</v>
      </c>
    </row>
    <row r="2" spans="1:12" ht="15.75" customHeight="1">
      <c r="A2" s="334"/>
      <c r="B2" s="335" t="str">
        <f>"University of Missouri - "&amp;RBN</f>
        <v>University of Missouri - St. Louis</v>
      </c>
      <c r="C2" s="336"/>
      <c r="D2" s="337"/>
      <c r="E2" s="338"/>
      <c r="F2" s="337"/>
      <c r="G2" s="337"/>
      <c r="H2" s="339"/>
      <c r="I2" s="340" t="s">
        <v>572</v>
      </c>
      <c r="J2" s="329" t="s">
        <v>1657</v>
      </c>
      <c r="L2" s="341" t="s">
        <v>571</v>
      </c>
    </row>
    <row r="3" spans="1:12" ht="15.75" customHeight="1">
      <c r="A3" s="334"/>
      <c r="B3" s="342" t="s">
        <v>618</v>
      </c>
      <c r="C3" s="336"/>
      <c r="D3" s="343"/>
      <c r="E3" s="344"/>
      <c r="F3" s="343"/>
      <c r="G3" s="343"/>
      <c r="H3" s="345"/>
      <c r="I3" s="346">
        <f ca="1">NOW()</f>
        <v>38440.637515856484</v>
      </c>
      <c r="L3" s="341" t="s">
        <v>619</v>
      </c>
    </row>
    <row r="4" spans="1:12" ht="15.75" customHeight="1">
      <c r="A4" s="334"/>
      <c r="B4" s="347" t="str">
        <f>"As of "&amp;TEXT(L4,"MMMM DD, YYYY")</f>
        <v>As of June 30, 2004</v>
      </c>
      <c r="C4" s="336"/>
      <c r="D4" s="343"/>
      <c r="E4" s="344"/>
      <c r="F4" s="343"/>
      <c r="G4" s="343"/>
      <c r="H4" s="345"/>
      <c r="I4" s="348">
        <f ca="1">NOW()</f>
        <v>38440.637515856484</v>
      </c>
      <c r="L4" s="341" t="s">
        <v>1656</v>
      </c>
    </row>
    <row r="5" spans="1:12" ht="12.75" customHeight="1">
      <c r="A5" s="334"/>
      <c r="B5" s="349"/>
      <c r="C5" s="336"/>
      <c r="D5" s="350"/>
      <c r="E5" s="351"/>
      <c r="F5" s="350"/>
      <c r="G5" s="350"/>
      <c r="H5" s="352"/>
      <c r="I5" s="353"/>
      <c r="L5" s="341"/>
    </row>
    <row r="6" spans="2:8" ht="54" customHeight="1">
      <c r="B6" s="354"/>
      <c r="C6" s="355"/>
      <c r="D6" s="356" t="s">
        <v>620</v>
      </c>
      <c r="E6" s="357" t="s">
        <v>621</v>
      </c>
      <c r="F6" s="357" t="s">
        <v>622</v>
      </c>
      <c r="G6" s="356" t="s">
        <v>623</v>
      </c>
      <c r="H6" s="358" t="s">
        <v>624</v>
      </c>
    </row>
    <row r="7" spans="2:7" ht="12.75">
      <c r="B7" s="341" t="s">
        <v>625</v>
      </c>
      <c r="E7" s="361"/>
      <c r="F7" s="361"/>
      <c r="G7" s="362"/>
    </row>
    <row r="8" spans="1:8" ht="12.75" outlineLevel="1">
      <c r="A8" s="329" t="s">
        <v>626</v>
      </c>
      <c r="B8" s="330"/>
      <c r="C8" s="331" t="s">
        <v>627</v>
      </c>
      <c r="D8" s="363">
        <v>181411.67</v>
      </c>
      <c r="E8" s="363">
        <v>1670699.63</v>
      </c>
      <c r="F8" s="363">
        <v>1636696.54</v>
      </c>
      <c r="G8" s="363">
        <v>-163784.98</v>
      </c>
      <c r="H8" s="363">
        <f aca="true" t="shared" si="0" ref="H8:H25">D8+E8-F8+G8</f>
        <v>51629.779999999766</v>
      </c>
    </row>
    <row r="9" spans="1:8" ht="12.75" outlineLevel="1">
      <c r="A9" s="329" t="s">
        <v>628</v>
      </c>
      <c r="B9" s="330"/>
      <c r="C9" s="331" t="s">
        <v>629</v>
      </c>
      <c r="D9" s="364">
        <v>0</v>
      </c>
      <c r="E9" s="364">
        <v>0</v>
      </c>
      <c r="F9" s="364">
        <v>0</v>
      </c>
      <c r="G9" s="364">
        <v>0</v>
      </c>
      <c r="H9" s="364">
        <f t="shared" si="0"/>
        <v>0</v>
      </c>
    </row>
    <row r="10" spans="1:8" ht="12.75" outlineLevel="1">
      <c r="A10" s="329" t="s">
        <v>630</v>
      </c>
      <c r="B10" s="330"/>
      <c r="C10" s="331" t="s">
        <v>631</v>
      </c>
      <c r="D10" s="364">
        <v>-56023.57</v>
      </c>
      <c r="E10" s="364">
        <v>0</v>
      </c>
      <c r="F10" s="364">
        <v>0</v>
      </c>
      <c r="G10" s="364">
        <v>0</v>
      </c>
      <c r="H10" s="364">
        <f t="shared" si="0"/>
        <v>-56023.57</v>
      </c>
    </row>
    <row r="11" spans="1:8" ht="12.75" outlineLevel="1">
      <c r="A11" s="329" t="s">
        <v>632</v>
      </c>
      <c r="B11" s="330"/>
      <c r="C11" s="331" t="s">
        <v>633</v>
      </c>
      <c r="D11" s="364">
        <v>207138.85</v>
      </c>
      <c r="E11" s="364">
        <v>6951789.62</v>
      </c>
      <c r="F11" s="364">
        <v>6992451.1</v>
      </c>
      <c r="G11" s="364">
        <v>0</v>
      </c>
      <c r="H11" s="364">
        <f t="shared" si="0"/>
        <v>166477.3700000001</v>
      </c>
    </row>
    <row r="12" spans="1:8" ht="12.75" outlineLevel="1">
      <c r="A12" s="329" t="s">
        <v>634</v>
      </c>
      <c r="B12" s="330"/>
      <c r="C12" s="331" t="s">
        <v>635</v>
      </c>
      <c r="D12" s="364">
        <v>0</v>
      </c>
      <c r="E12" s="364">
        <v>70900</v>
      </c>
      <c r="F12" s="364">
        <v>32332.92</v>
      </c>
      <c r="G12" s="364">
        <v>-34343.74</v>
      </c>
      <c r="H12" s="364">
        <f t="shared" si="0"/>
        <v>4223.340000000004</v>
      </c>
    </row>
    <row r="13" spans="1:8" ht="12.75" outlineLevel="1">
      <c r="A13" s="329" t="s">
        <v>636</v>
      </c>
      <c r="B13" s="330"/>
      <c r="C13" s="331" t="s">
        <v>637</v>
      </c>
      <c r="D13" s="364">
        <v>-17032.36</v>
      </c>
      <c r="E13" s="364">
        <v>2450480.59</v>
      </c>
      <c r="F13" s="364">
        <v>1875369.64</v>
      </c>
      <c r="G13" s="364">
        <v>-553976.2</v>
      </c>
      <c r="H13" s="364">
        <f t="shared" si="0"/>
        <v>4102.39000000013</v>
      </c>
    </row>
    <row r="14" spans="1:8" ht="12.75" outlineLevel="1">
      <c r="A14" s="329" t="s">
        <v>638</v>
      </c>
      <c r="B14" s="330"/>
      <c r="C14" s="331" t="s">
        <v>639</v>
      </c>
      <c r="D14" s="364">
        <v>103514.47</v>
      </c>
      <c r="E14" s="364">
        <v>749170.69</v>
      </c>
      <c r="F14" s="364">
        <v>513372.29</v>
      </c>
      <c r="G14" s="364">
        <v>-326786.34</v>
      </c>
      <c r="H14" s="364">
        <f t="shared" si="0"/>
        <v>12526.529999999912</v>
      </c>
    </row>
    <row r="15" spans="1:8" ht="12.75" outlineLevel="1">
      <c r="A15" s="329" t="s">
        <v>640</v>
      </c>
      <c r="B15" s="330"/>
      <c r="C15" s="331" t="s">
        <v>641</v>
      </c>
      <c r="D15" s="364">
        <v>253138.72</v>
      </c>
      <c r="E15" s="364">
        <v>4183865.26</v>
      </c>
      <c r="F15" s="364">
        <v>1115243.93</v>
      </c>
      <c r="G15" s="364">
        <v>-3106749.25</v>
      </c>
      <c r="H15" s="364">
        <f t="shared" si="0"/>
        <v>215010.7999999998</v>
      </c>
    </row>
    <row r="16" spans="1:8" ht="12.75" outlineLevel="1">
      <c r="A16" s="329" t="s">
        <v>642</v>
      </c>
      <c r="B16" s="330"/>
      <c r="C16" s="331" t="s">
        <v>643</v>
      </c>
      <c r="D16" s="364">
        <v>-20238.94</v>
      </c>
      <c r="E16" s="364">
        <v>506993.66</v>
      </c>
      <c r="F16" s="364">
        <v>501193.15</v>
      </c>
      <c r="G16" s="364">
        <v>30565</v>
      </c>
      <c r="H16" s="364">
        <f t="shared" si="0"/>
        <v>16126.569999999949</v>
      </c>
    </row>
    <row r="17" spans="1:8" ht="12.75" outlineLevel="1">
      <c r="A17" s="329" t="s">
        <v>644</v>
      </c>
      <c r="B17" s="330"/>
      <c r="C17" s="331" t="s">
        <v>645</v>
      </c>
      <c r="D17" s="364">
        <v>480785.21</v>
      </c>
      <c r="E17" s="364">
        <v>2598377.48</v>
      </c>
      <c r="F17" s="364">
        <v>652685.38</v>
      </c>
      <c r="G17" s="364">
        <v>-2087255.75</v>
      </c>
      <c r="H17" s="364">
        <f t="shared" si="0"/>
        <v>339221.56000000006</v>
      </c>
    </row>
    <row r="18" spans="1:8" ht="12.75" outlineLevel="1">
      <c r="A18" s="329" t="s">
        <v>646</v>
      </c>
      <c r="B18" s="330"/>
      <c r="C18" s="331" t="s">
        <v>647</v>
      </c>
      <c r="D18" s="364">
        <v>1913.09</v>
      </c>
      <c r="E18" s="364">
        <v>177472.77</v>
      </c>
      <c r="F18" s="364">
        <v>44047.36</v>
      </c>
      <c r="G18" s="364">
        <v>-135000</v>
      </c>
      <c r="H18" s="364">
        <f t="shared" si="0"/>
        <v>338.5</v>
      </c>
    </row>
    <row r="19" spans="1:8" ht="12.75" outlineLevel="1">
      <c r="A19" s="329" t="s">
        <v>648</v>
      </c>
      <c r="B19" s="330"/>
      <c r="C19" s="331" t="s">
        <v>649</v>
      </c>
      <c r="D19" s="364">
        <v>45355.75</v>
      </c>
      <c r="E19" s="364">
        <v>611695.43</v>
      </c>
      <c r="F19" s="364">
        <v>302931.3</v>
      </c>
      <c r="G19" s="364">
        <v>-315000</v>
      </c>
      <c r="H19" s="364">
        <f t="shared" si="0"/>
        <v>39119.88000000006</v>
      </c>
    </row>
    <row r="20" spans="1:8" ht="12.75" outlineLevel="1">
      <c r="A20" s="329" t="s">
        <v>650</v>
      </c>
      <c r="B20" s="330"/>
      <c r="C20" s="331" t="s">
        <v>651</v>
      </c>
      <c r="D20" s="364">
        <v>-13998.05</v>
      </c>
      <c r="E20" s="364">
        <v>463767.42</v>
      </c>
      <c r="F20" s="364">
        <v>474149.38</v>
      </c>
      <c r="G20" s="364">
        <v>10000</v>
      </c>
      <c r="H20" s="364">
        <f t="shared" si="0"/>
        <v>-14380.01000000001</v>
      </c>
    </row>
    <row r="21" spans="1:8" ht="12.75" outlineLevel="1">
      <c r="A21" s="329" t="s">
        <v>652</v>
      </c>
      <c r="B21" s="330"/>
      <c r="C21" s="331" t="s">
        <v>653</v>
      </c>
      <c r="D21" s="364">
        <v>39725.59</v>
      </c>
      <c r="E21" s="364">
        <v>239252.15</v>
      </c>
      <c r="F21" s="364">
        <v>234696.85</v>
      </c>
      <c r="G21" s="364">
        <v>4353</v>
      </c>
      <c r="H21" s="364">
        <f t="shared" si="0"/>
        <v>48633.889999999985</v>
      </c>
    </row>
    <row r="22" spans="1:8" ht="12.75" outlineLevel="1">
      <c r="A22" s="329" t="s">
        <v>654</v>
      </c>
      <c r="B22" s="330"/>
      <c r="C22" s="331" t="s">
        <v>655</v>
      </c>
      <c r="D22" s="364">
        <v>-312660.68</v>
      </c>
      <c r="E22" s="364">
        <v>789885.6</v>
      </c>
      <c r="F22" s="364">
        <v>979004.1</v>
      </c>
      <c r="G22" s="364">
        <v>408454.87</v>
      </c>
      <c r="H22" s="364">
        <f t="shared" si="0"/>
        <v>-93324.31</v>
      </c>
    </row>
    <row r="23" spans="1:8" ht="12.75" outlineLevel="1">
      <c r="A23" s="329" t="s">
        <v>656</v>
      </c>
      <c r="B23" s="330"/>
      <c r="C23" s="331" t="s">
        <v>657</v>
      </c>
      <c r="D23" s="364">
        <v>0</v>
      </c>
      <c r="E23" s="364">
        <v>1678472.96</v>
      </c>
      <c r="F23" s="364">
        <v>2931322.91</v>
      </c>
      <c r="G23" s="364">
        <v>-474155.6</v>
      </c>
      <c r="H23" s="364">
        <f t="shared" si="0"/>
        <v>-1727005.5500000003</v>
      </c>
    </row>
    <row r="24" spans="1:8" ht="12.75" outlineLevel="1">
      <c r="A24" s="329" t="s">
        <v>658</v>
      </c>
      <c r="B24" s="330"/>
      <c r="C24" s="331" t="s">
        <v>659</v>
      </c>
      <c r="D24" s="364">
        <v>22642.65</v>
      </c>
      <c r="E24" s="364">
        <v>46425.57</v>
      </c>
      <c r="F24" s="364">
        <v>22688.45</v>
      </c>
      <c r="G24" s="364">
        <v>2664.02</v>
      </c>
      <c r="H24" s="364">
        <f t="shared" si="0"/>
        <v>49043.79</v>
      </c>
    </row>
    <row r="25" spans="1:8" s="341" customFormat="1" ht="12.75">
      <c r="A25" s="341" t="s">
        <v>660</v>
      </c>
      <c r="B25" s="365"/>
      <c r="C25" s="366" t="s">
        <v>661</v>
      </c>
      <c r="D25" s="367">
        <v>915672.4</v>
      </c>
      <c r="E25" s="367">
        <v>23189248.830000002</v>
      </c>
      <c r="F25" s="367">
        <v>18308185.3</v>
      </c>
      <c r="G25" s="368">
        <v>-6741014.97</v>
      </c>
      <c r="H25" s="367">
        <f t="shared" si="0"/>
        <v>-944279.04</v>
      </c>
    </row>
    <row r="26" spans="4:8" ht="12.75">
      <c r="D26" s="369"/>
      <c r="E26" s="369"/>
      <c r="F26" s="369"/>
      <c r="G26" s="369"/>
      <c r="H26" s="369"/>
    </row>
    <row r="27" spans="2:8" ht="12.75">
      <c r="B27" s="341" t="s">
        <v>662</v>
      </c>
      <c r="D27" s="369"/>
      <c r="E27" s="369"/>
      <c r="F27" s="369"/>
      <c r="G27" s="369"/>
      <c r="H27" s="369"/>
    </row>
    <row r="28" spans="1:8" ht="12.75" outlineLevel="1">
      <c r="A28" s="329" t="s">
        <v>1395</v>
      </c>
      <c r="B28" s="330"/>
      <c r="C28" s="331" t="s">
        <v>1414</v>
      </c>
      <c r="D28" s="364">
        <v>-5059.81</v>
      </c>
      <c r="E28" s="364">
        <v>0</v>
      </c>
      <c r="F28" s="364">
        <v>-1002.8500000000058</v>
      </c>
      <c r="G28" s="364">
        <v>0</v>
      </c>
      <c r="H28" s="364">
        <f aca="true" t="shared" si="1" ref="H28:H40">D28+E28-F28+G28</f>
        <v>-4056.9599999999946</v>
      </c>
    </row>
    <row r="29" spans="1:8" ht="12.75" outlineLevel="1">
      <c r="A29" s="329" t="s">
        <v>1396</v>
      </c>
      <c r="B29" s="330"/>
      <c r="C29" s="331" t="s">
        <v>1415</v>
      </c>
      <c r="D29" s="364">
        <v>241456.01</v>
      </c>
      <c r="E29" s="364">
        <v>4120.08</v>
      </c>
      <c r="F29" s="364">
        <v>203952.61</v>
      </c>
      <c r="G29" s="364">
        <v>11335.61</v>
      </c>
      <c r="H29" s="364">
        <f t="shared" si="1"/>
        <v>52959.09000000001</v>
      </c>
    </row>
    <row r="30" spans="1:8" ht="12.75" outlineLevel="1">
      <c r="A30" s="329" t="s">
        <v>1397</v>
      </c>
      <c r="B30" s="330"/>
      <c r="C30" s="331" t="s">
        <v>1416</v>
      </c>
      <c r="D30" s="364">
        <v>-5608.31</v>
      </c>
      <c r="E30" s="364">
        <v>113</v>
      </c>
      <c r="F30" s="364">
        <v>130717.86</v>
      </c>
      <c r="G30" s="364">
        <v>205890</v>
      </c>
      <c r="H30" s="364">
        <f t="shared" si="1"/>
        <v>69676.82999999999</v>
      </c>
    </row>
    <row r="31" spans="1:8" ht="12.75" outlineLevel="1">
      <c r="A31" s="329" t="s">
        <v>1398</v>
      </c>
      <c r="B31" s="330"/>
      <c r="C31" s="331" t="s">
        <v>1417</v>
      </c>
      <c r="D31" s="364">
        <v>468.86</v>
      </c>
      <c r="E31" s="364">
        <v>6656.67</v>
      </c>
      <c r="F31" s="364">
        <v>6704.83</v>
      </c>
      <c r="G31" s="364">
        <v>0</v>
      </c>
      <c r="H31" s="364">
        <f t="shared" si="1"/>
        <v>420.6999999999998</v>
      </c>
    </row>
    <row r="32" spans="1:8" ht="12.75" outlineLevel="1">
      <c r="A32" s="329" t="s">
        <v>1399</v>
      </c>
      <c r="B32" s="330"/>
      <c r="C32" s="331" t="s">
        <v>1418</v>
      </c>
      <c r="D32" s="364">
        <v>107592.55</v>
      </c>
      <c r="E32" s="364">
        <v>27818.44</v>
      </c>
      <c r="F32" s="364">
        <v>51026.8</v>
      </c>
      <c r="G32" s="364">
        <v>70800</v>
      </c>
      <c r="H32" s="364">
        <f t="shared" si="1"/>
        <v>155184.19</v>
      </c>
    </row>
    <row r="33" spans="1:8" ht="12.75" outlineLevel="1">
      <c r="A33" s="329" t="s">
        <v>1400</v>
      </c>
      <c r="B33" s="330"/>
      <c r="C33" s="331" t="s">
        <v>1419</v>
      </c>
      <c r="D33" s="364">
        <v>-1204.67</v>
      </c>
      <c r="E33" s="364">
        <v>0</v>
      </c>
      <c r="F33" s="364">
        <v>-14409.009999999893</v>
      </c>
      <c r="G33" s="364">
        <v>0</v>
      </c>
      <c r="H33" s="364">
        <f t="shared" si="1"/>
        <v>13204.339999999893</v>
      </c>
    </row>
    <row r="34" spans="1:8" ht="12.75" outlineLevel="1">
      <c r="A34" s="329" t="s">
        <v>1401</v>
      </c>
      <c r="B34" s="330"/>
      <c r="C34" s="331" t="s">
        <v>1420</v>
      </c>
      <c r="D34" s="364">
        <v>0</v>
      </c>
      <c r="E34" s="364">
        <v>0</v>
      </c>
      <c r="F34" s="364">
        <v>22629.22</v>
      </c>
      <c r="G34" s="364">
        <v>6929.92</v>
      </c>
      <c r="H34" s="364">
        <f t="shared" si="1"/>
        <v>-15699.300000000001</v>
      </c>
    </row>
    <row r="35" spans="1:8" ht="12.75" outlineLevel="1">
      <c r="A35" s="329" t="s">
        <v>1402</v>
      </c>
      <c r="B35" s="330"/>
      <c r="C35" s="331" t="s">
        <v>1421</v>
      </c>
      <c r="D35" s="364">
        <v>-4244.36</v>
      </c>
      <c r="E35" s="364">
        <v>0</v>
      </c>
      <c r="F35" s="364">
        <v>-2475.059999999983</v>
      </c>
      <c r="G35" s="364">
        <v>0</v>
      </c>
      <c r="H35" s="364">
        <f t="shared" si="1"/>
        <v>-1769.3000000000166</v>
      </c>
    </row>
    <row r="36" spans="1:8" ht="12.75" outlineLevel="1">
      <c r="A36" s="329" t="s">
        <v>1403</v>
      </c>
      <c r="B36" s="330"/>
      <c r="C36" s="331" t="s">
        <v>1422</v>
      </c>
      <c r="D36" s="364">
        <v>-407680.24</v>
      </c>
      <c r="E36" s="364">
        <v>125226.51</v>
      </c>
      <c r="F36" s="364">
        <v>-289102.25</v>
      </c>
      <c r="G36" s="364">
        <v>-256490.86</v>
      </c>
      <c r="H36" s="364">
        <f t="shared" si="1"/>
        <v>-249842.33999999997</v>
      </c>
    </row>
    <row r="37" spans="1:8" ht="12.75" outlineLevel="1">
      <c r="A37" s="329" t="s">
        <v>1404</v>
      </c>
      <c r="B37" s="330"/>
      <c r="C37" s="331" t="s">
        <v>1423</v>
      </c>
      <c r="D37" s="364">
        <v>0</v>
      </c>
      <c r="E37" s="364">
        <v>0</v>
      </c>
      <c r="F37" s="364">
        <v>13623</v>
      </c>
      <c r="G37" s="364">
        <v>13623</v>
      </c>
      <c r="H37" s="364">
        <f t="shared" si="1"/>
        <v>0</v>
      </c>
    </row>
    <row r="38" spans="1:8" ht="12.75" outlineLevel="1">
      <c r="A38" s="329" t="s">
        <v>1405</v>
      </c>
      <c r="B38" s="330"/>
      <c r="C38" s="331" t="s">
        <v>1424</v>
      </c>
      <c r="D38" s="364">
        <v>81004.59</v>
      </c>
      <c r="E38" s="364">
        <v>125179.27</v>
      </c>
      <c r="F38" s="364">
        <v>-309614.42</v>
      </c>
      <c r="G38" s="364">
        <v>0</v>
      </c>
      <c r="H38" s="364">
        <f t="shared" si="1"/>
        <v>515798.27999999997</v>
      </c>
    </row>
    <row r="39" spans="1:8" ht="12.75" outlineLevel="1">
      <c r="A39" s="329" t="s">
        <v>1406</v>
      </c>
      <c r="B39" s="330"/>
      <c r="C39" s="331" t="s">
        <v>1425</v>
      </c>
      <c r="D39" s="364">
        <v>-22413.34</v>
      </c>
      <c r="E39" s="364">
        <v>6706.63</v>
      </c>
      <c r="F39" s="364">
        <v>125522.92</v>
      </c>
      <c r="G39" s="364">
        <v>65019.5</v>
      </c>
      <c r="H39" s="364">
        <f t="shared" si="1"/>
        <v>-76210.13</v>
      </c>
    </row>
    <row r="40" spans="1:8" s="341" customFormat="1" ht="12.75">
      <c r="A40" s="341" t="s">
        <v>1407</v>
      </c>
      <c r="B40" s="365"/>
      <c r="C40" s="366" t="s">
        <v>663</v>
      </c>
      <c r="D40" s="370">
        <v>-15688.72</v>
      </c>
      <c r="E40" s="370">
        <v>295820.6</v>
      </c>
      <c r="F40" s="370">
        <v>-62426.34999999922</v>
      </c>
      <c r="G40" s="370">
        <v>117107.17</v>
      </c>
      <c r="H40" s="370">
        <f t="shared" si="1"/>
        <v>459665.3999999992</v>
      </c>
    </row>
    <row r="41" ht="12.75">
      <c r="C41" s="371"/>
    </row>
    <row r="42" spans="3:5" ht="12.75" hidden="1">
      <c r="C42" s="690" t="s">
        <v>664</v>
      </c>
      <c r="D42" s="691"/>
      <c r="E42" s="691"/>
    </row>
    <row r="43" spans="1:8" ht="12.75" hidden="1">
      <c r="A43" s="329" t="s">
        <v>1641</v>
      </c>
      <c r="C43" s="372" t="s">
        <v>1675</v>
      </c>
      <c r="D43" s="360">
        <v>0</v>
      </c>
      <c r="E43" s="360">
        <v>-13017.24</v>
      </c>
      <c r="F43" s="360">
        <v>-2969</v>
      </c>
      <c r="G43" s="360">
        <v>10048.24</v>
      </c>
      <c r="H43" s="373">
        <f>D43+E43-F43+G43</f>
        <v>0</v>
      </c>
    </row>
    <row r="44" spans="1:8" ht="12.75" hidden="1">
      <c r="A44" s="329" t="s">
        <v>665</v>
      </c>
      <c r="C44" s="372" t="s">
        <v>666</v>
      </c>
      <c r="D44" s="360">
        <v>18533316.56</v>
      </c>
      <c r="E44" s="360">
        <v>64917134.35999999</v>
      </c>
      <c r="F44" s="360">
        <v>110862226.29000004</v>
      </c>
      <c r="G44" s="360">
        <v>44669345.870000005</v>
      </c>
      <c r="H44" s="373">
        <f>D44+E44-F44+G44</f>
        <v>17257570.499999955</v>
      </c>
    </row>
    <row r="45" spans="1:8" ht="12.75" hidden="1">
      <c r="A45" s="329" t="s">
        <v>667</v>
      </c>
      <c r="C45" s="372" t="s">
        <v>668</v>
      </c>
      <c r="D45" s="360">
        <v>0</v>
      </c>
      <c r="E45" s="360">
        <v>0</v>
      </c>
      <c r="F45" s="360">
        <v>0</v>
      </c>
      <c r="G45" s="360">
        <v>0</v>
      </c>
      <c r="H45" s="373">
        <f>D45+E45-F45+G45</f>
        <v>0</v>
      </c>
    </row>
    <row r="46" spans="3:8" ht="12.75" hidden="1">
      <c r="C46" s="366" t="s">
        <v>669</v>
      </c>
      <c r="D46" s="373">
        <f>D25+D40+D43+D44+D45</f>
        <v>19433300.24</v>
      </c>
      <c r="E46" s="373">
        <f>E25+E40+E43+E44+E45</f>
        <v>88389186.55</v>
      </c>
      <c r="F46" s="373">
        <f>F25+F40+F43+F44+F45</f>
        <v>129105016.24000004</v>
      </c>
      <c r="G46" s="373">
        <f>G25+G40+G43+G44+G45</f>
        <v>38055486.31</v>
      </c>
      <c r="H46" s="373">
        <f>H25+H40+H43+H44+H45</f>
        <v>16772956.859999955</v>
      </c>
    </row>
  </sheetData>
  <mergeCells count="1">
    <mergeCell ref="C42:E42"/>
  </mergeCells>
  <printOptions horizontalCentered="1"/>
  <pageMargins left="0.5" right="0.5" top="0.75" bottom="0.5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2005-02-04T20:41:20Z</cp:lastPrinted>
  <dcterms:created xsi:type="dcterms:W3CDTF">2005-02-04T19:01:10Z</dcterms:created>
  <dcterms:modified xsi:type="dcterms:W3CDTF">2005-03-29T21:29:54Z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