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Net Assets_R" sheetId="1" r:id="rId1"/>
    <sheet name="RECNA_R" sheetId="2" r:id="rId2"/>
    <sheet name="Cash Flow_R" sheetId="3" r:id="rId3"/>
    <sheet name="NA by Fund_R" sheetId="4" r:id="rId4"/>
    <sheet name="RECNA by Fund_R" sheetId="5" r:id="rId5"/>
    <sheet name="RECNA-Unrest_R" sheetId="6" r:id="rId6"/>
    <sheet name="Oper Rev_R" sheetId="7" r:id="rId7"/>
    <sheet name="Oper Exp_R" sheetId="8" r:id="rId8"/>
    <sheet name="Aux &amp; SO_R" sheetId="9" r:id="rId9"/>
    <sheet name="RECNA-Sel Aux_R" sheetId="10" r:id="rId10"/>
    <sheet name="Loan_R" sheetId="11" r:id="rId11"/>
    <sheet name="Endow_R" sheetId="12" r:id="rId12"/>
    <sheet name="R&amp;U Plant_R" sheetId="13" r:id="rId13"/>
    <sheet name="Invest in Plant_R" sheetId="14" r:id="rId14"/>
    <sheet name="Bonds &amp; Notes_R" sheetId="15" r:id="rId15"/>
    <sheet name="Funds Held_R" sheetId="16" r:id="rId16"/>
  </sheets>
  <definedNames>
    <definedName name="ABC" localSheetId="12">'R&amp;U Plant_R'!#REF!</definedName>
    <definedName name="ABC">#REF!</definedName>
    <definedName name="ASD" localSheetId="11">'Endow_R'!$R$4</definedName>
    <definedName name="ASD" localSheetId="15">'Funds Held_R'!$K$5</definedName>
    <definedName name="ASD" localSheetId="10">'Loan_R'!$O$4</definedName>
    <definedName name="ASD" localSheetId="7">'Oper Exp_R'!$M$4</definedName>
    <definedName name="ASD" localSheetId="12">'R&amp;U Plant_R'!$P$4</definedName>
    <definedName name="ASD">#REF!</definedName>
    <definedName name="AsofDate" localSheetId="15">'Funds Held_R'!$X$5</definedName>
    <definedName name="AsofDate">#REF!</definedName>
    <definedName name="ASSD" localSheetId="11">'Endow_R'!$R$4</definedName>
    <definedName name="ASSD" localSheetId="10">'Loan_R'!$O$4</definedName>
    <definedName name="ASSD">#REF!</definedName>
    <definedName name="NvsASD" localSheetId="8">"V2006-06-30"</definedName>
    <definedName name="NvsASD" localSheetId="11">"V2006-06-30"</definedName>
    <definedName name="NvsASD" localSheetId="15">"V2006-06-30"</definedName>
    <definedName name="NvsASD" localSheetId="13">"V2006-06-30"</definedName>
    <definedName name="NvsASD" localSheetId="10">"V2006-06-30"</definedName>
    <definedName name="NvsASD" localSheetId="3">"V2006-06-30"</definedName>
    <definedName name="NvsASD" localSheetId="7">"V2006-06-30"</definedName>
    <definedName name="NvsASD" localSheetId="6">"V2006-06-30"</definedName>
    <definedName name="NvsASD" localSheetId="12">"V2006-06-30"</definedName>
    <definedName name="NvsASD" localSheetId="4">"V2006-06-30"</definedName>
    <definedName name="NvsASD" localSheetId="9">"V2006-06-30"</definedName>
    <definedName name="NvsASD" localSheetId="5">"V2006-06-30"</definedName>
    <definedName name="NvsASD">"V2002-06-30"</definedName>
    <definedName name="NvsAutoDrillOk" localSheetId="8">"VN"</definedName>
    <definedName name="NvsAutoDrillOk" localSheetId="11">"VN"</definedName>
    <definedName name="NvsAutoDrillOk" localSheetId="10">"VN"</definedName>
    <definedName name="NvsAutoDrillOk" localSheetId="12">"VN"</definedName>
    <definedName name="NvsAutoDrillOk" localSheetId="9">"VN"</definedName>
    <definedName name="NvsAutoDrillOk">"VY"</definedName>
    <definedName name="NvsElapsedTime" localSheetId="8">0.00103009259328246</definedName>
    <definedName name="NvsElapsedTime" localSheetId="11">0.000185185184818693</definedName>
    <definedName name="NvsElapsedTime" localSheetId="15">0.000451388892543036</definedName>
    <definedName name="NvsElapsedTime" localSheetId="13">0.000196759261598345</definedName>
    <definedName name="NvsElapsedTime" localSheetId="10">0.0000694444461259991</definedName>
    <definedName name="NvsElapsedTime" localSheetId="3">0.000289351846731734</definedName>
    <definedName name="NvsElapsedTime" localSheetId="7">0.000462962962046731</definedName>
    <definedName name="NvsElapsedTime" localSheetId="6">0.000289351846731734</definedName>
    <definedName name="NvsElapsedTime" localSheetId="12">0.0000925925924093463</definedName>
    <definedName name="NvsElapsedTime" localSheetId="4">0.000439814815763384</definedName>
    <definedName name="NvsElapsedTime" localSheetId="9">0.0000578703693463467</definedName>
    <definedName name="NvsElapsedTime" localSheetId="5">0.00053240740817273</definedName>
    <definedName name="NvsElapsedTime">0.0269587962975493</definedName>
    <definedName name="NvsEndTime" localSheetId="8">39090.3136805556</definedName>
    <definedName name="NvsEndTime" localSheetId="11">39088.3450462963</definedName>
    <definedName name="NvsEndTime" localSheetId="15">38994.6797569444</definedName>
    <definedName name="NvsEndTime" localSheetId="13">38940.3732638889</definedName>
    <definedName name="NvsEndTime" localSheetId="10">39090.3153935185</definedName>
    <definedName name="NvsEndTime" localSheetId="3">39090.2703472222</definedName>
    <definedName name="NvsEndTime" localSheetId="7">39090.2894675926</definedName>
    <definedName name="NvsEndTime" localSheetId="6">38994.6925</definedName>
    <definedName name="NvsEndTime" localSheetId="12">39090.2725925926</definedName>
    <definedName name="NvsEndTime" localSheetId="4">39090.2641550926</definedName>
    <definedName name="NvsEndTime" localSheetId="9">39090.2731828704</definedName>
    <definedName name="NvsEndTime" localSheetId="5">39090.2827199074</definedName>
    <definedName name="NvsEndTime">37456.430659375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8">"V2025-12-31"</definedName>
    <definedName name="NvsPanelEffdt" localSheetId="11">"V2025-12-31"</definedName>
    <definedName name="NvsPanelEffdt" localSheetId="15">"V2000-07-31"</definedName>
    <definedName name="NvsPanelEffdt" localSheetId="13">"V2099-01-01"</definedName>
    <definedName name="NvsPanelEffdt" localSheetId="10">"V2025-12-31"</definedName>
    <definedName name="NvsPanelEffdt" localSheetId="3">"V2099-01-01"</definedName>
    <definedName name="NvsPanelEffdt" localSheetId="7">"V2025-12-31"</definedName>
    <definedName name="NvsPanelEffdt" localSheetId="6">"V2099-07-01"</definedName>
    <definedName name="NvsPanelEffdt" localSheetId="12">"V2099-01-01"</definedName>
    <definedName name="NvsPanelEffdt" localSheetId="4">"V2099-01-01"</definedName>
    <definedName name="NvsPanelEffdt" localSheetId="9">"V2000-07-01"</definedName>
    <definedName name="NvsPanelEffdt" localSheetId="5">"V2099-01-01"</definedName>
    <definedName name="NvsPanelEffdt">"V1900-01-01"</definedName>
    <definedName name="NvsPanelSetid">"VUOFMO"</definedName>
    <definedName name="NvsReqBU" localSheetId="8">"VROLLA"</definedName>
    <definedName name="NvsReqBU" localSheetId="11">"VROLLA"</definedName>
    <definedName name="NvsReqBU" localSheetId="15">"VROLLA"</definedName>
    <definedName name="NvsReqBU" localSheetId="13">"VROLLA"</definedName>
    <definedName name="NvsReqBU" localSheetId="10">"VROLLA"</definedName>
    <definedName name="NvsReqBU" localSheetId="3">"VROLLA"</definedName>
    <definedName name="NvsReqBU" localSheetId="7">"VROLLA"</definedName>
    <definedName name="NvsReqBU" localSheetId="6">"VROLLA"</definedName>
    <definedName name="NvsReqBU" localSheetId="12">"VROLLA"</definedName>
    <definedName name="NvsReqBU" localSheetId="4">"VROLLA"</definedName>
    <definedName name="NvsReqBU" localSheetId="9">"VROLLA"</definedName>
    <definedName name="NvsReqBU" localSheetId="5">"VROLLA"</definedName>
    <definedName name="NvsReqBU">"VKCITY"</definedName>
    <definedName name="NvsReqBUOnly">"VY"</definedName>
    <definedName name="NvsSheetType" localSheetId="8">"M"</definedName>
    <definedName name="NvsSheetType" localSheetId="11">"M"</definedName>
    <definedName name="NvsSheetType" localSheetId="15">"M"</definedName>
    <definedName name="NvsSheetType" localSheetId="13">"M"</definedName>
    <definedName name="NvsSheetType" localSheetId="10">"M"</definedName>
    <definedName name="NvsSheetType" localSheetId="3">"M"</definedName>
    <definedName name="NvsSheetType" localSheetId="7">"M"</definedName>
    <definedName name="NvsSheetType" localSheetId="6">"M"</definedName>
    <definedName name="NvsSheetType" localSheetId="12">"M"</definedName>
    <definedName name="NvsSheetType" localSheetId="4">"M"</definedName>
    <definedName name="NvsSheetType" localSheetId="9">"M"</definedName>
    <definedName name="NvsSheetType" localSheetId="5">"M"</definedName>
    <definedName name="NvsTransLed">"VN"</definedName>
    <definedName name="NvsTree.GASB_34_35" localSheetId="6">"YNNYN"</definedName>
    <definedName name="NvsTree.GASB_34_35_FUND" localSheetId="15">"YNNYN"</definedName>
    <definedName name="NvsTree.GASB_34_35_FUND" localSheetId="7">"YNNYN"</definedName>
    <definedName name="NvsTree.GASB_34_35_FUND" localSheetId="6">"YNNYN"</definedName>
    <definedName name="NvsTree.GASB_34_35_FUND" localSheetId="4">"YNNYN"</definedName>
    <definedName name="NvsTree.GASB_34_35_FUND" localSheetId="5">"YNNYN"</definedName>
    <definedName name="NvsTreeASD" localSheetId="8">"V2006-06-30"</definedName>
    <definedName name="NvsTreeASD" localSheetId="11">"V2006-06-30"</definedName>
    <definedName name="NvsTreeASD" localSheetId="15">"V2006-06-30"</definedName>
    <definedName name="NvsTreeASD" localSheetId="13">"V2006-06-30"</definedName>
    <definedName name="NvsTreeASD" localSheetId="10">"V2006-06-30"</definedName>
    <definedName name="NvsTreeASD" localSheetId="3">"V2006-06-30"</definedName>
    <definedName name="NvsTreeASD" localSheetId="7">"V2006-06-30"</definedName>
    <definedName name="NvsTreeASD" localSheetId="6">"V2006-06-30"</definedName>
    <definedName name="NvsTreeASD" localSheetId="12">"V2006-06-30"</definedName>
    <definedName name="NvsTreeASD" localSheetId="4">"V2006-06-30"</definedName>
    <definedName name="NvsTreeASD" localSheetId="9">"V2006-06-30"</definedName>
    <definedName name="NvsTreeASD" localSheetId="5">"V2006-06-30"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 localSheetId="15">"DEPT_TBL"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8">'Aux &amp; SO_R'!$B$2:$I$28</definedName>
    <definedName name="_xlnm.Print_Area" localSheetId="14">'Bonds &amp; Notes_R'!$A$1:$H$23</definedName>
    <definedName name="_xlnm.Print_Area" localSheetId="2">'Cash Flow_R'!$A$1:$E$73</definedName>
    <definedName name="_xlnm.Print_Area" localSheetId="11">'Endow_R'!$A:$M</definedName>
    <definedName name="_xlnm.Print_Area" localSheetId="15">'Funds Held_R'!$C:$I</definedName>
    <definedName name="_xlnm.Print_Area" localSheetId="10">'Loan_R'!$A$2:$L$62</definedName>
    <definedName name="_xlnm.Print_Area" localSheetId="3">'NA by Fund_R'!$A$1:$Y$144</definedName>
    <definedName name="_xlnm.Print_Area" localSheetId="0">'Net Assets_R'!$A$1:$E$66</definedName>
    <definedName name="_xlnm.Print_Area" localSheetId="7">'Oper Exp_R'!$B$1:$H$55</definedName>
    <definedName name="_xlnm.Print_Area" localSheetId="6">'Oper Rev_R'!$B$2:$I$67</definedName>
    <definedName name="_xlnm.Print_Area" localSheetId="12">'R&amp;U Plant_R'!$A$2:$M$57</definedName>
    <definedName name="_xlnm.Print_Area" localSheetId="4">'RECNA by Fund_R'!$A:$Z</definedName>
    <definedName name="_xlnm.Print_Area" localSheetId="1">'RECNA_R'!$A$1:$E$60</definedName>
    <definedName name="_xlnm.Print_Area" localSheetId="9">'RECNA-Sel Aux_R'!$B$1:$F$177</definedName>
    <definedName name="_xlnm.Print_Titles" localSheetId="8">'Aux &amp; SO_R'!$2:$9</definedName>
    <definedName name="_xlnm.Print_Titles" localSheetId="11">'Endow_R'!$2:$8</definedName>
    <definedName name="_xlnm.Print_Titles" localSheetId="15">'Funds Held_R'!$2:$6</definedName>
    <definedName name="_xlnm.Print_Titles" localSheetId="13">'Invest in Plant_R'!$2:$8</definedName>
    <definedName name="_xlnm.Print_Titles" localSheetId="10">'Loan_R'!$2:$7</definedName>
    <definedName name="_xlnm.Print_Titles" localSheetId="3">'NA by Fund_R'!$2:$10</definedName>
    <definedName name="_xlnm.Print_Titles" localSheetId="6">'Oper Rev_R'!$2:$8</definedName>
    <definedName name="_xlnm.Print_Titles" localSheetId="12">'R&amp;U Plant_R'!$2:$7</definedName>
    <definedName name="_xlnm.Print_Titles" localSheetId="4">'RECNA by Fund_R'!$2:$9</definedName>
    <definedName name="_xlnm.Print_Titles" localSheetId="5">'RECNA-Unrest_R'!$2:$8</definedName>
    <definedName name="RBN" localSheetId="8">'Aux &amp; SO_R'!$K$2</definedName>
    <definedName name="RBN" localSheetId="11">'Endow_R'!$O$2</definedName>
    <definedName name="RBN" localSheetId="15">'Funds Held_R'!$K$2</definedName>
    <definedName name="RBN" localSheetId="13">'Invest in Plant_R'!$M$4</definedName>
    <definedName name="RBN" localSheetId="10">'Loan_R'!$N$2</definedName>
    <definedName name="RBN" localSheetId="3">'NA by Fund_R'!$AC$4</definedName>
    <definedName name="RBN" localSheetId="7">'Oper Exp_R'!$R$2</definedName>
    <definedName name="RBN" localSheetId="6">'Oper Rev_R'!$L$2</definedName>
    <definedName name="RBN" localSheetId="12">'R&amp;U Plant_R'!$P$2</definedName>
    <definedName name="RBN" localSheetId="4">'RECNA by Fund_R'!$AE$2</definedName>
    <definedName name="RBN" localSheetId="5">'RECNA-Unrest_R'!$S$3</definedName>
    <definedName name="RBN">#REF!</definedName>
    <definedName name="RBU" localSheetId="8">'Aux &amp; SO_R'!$N$2</definedName>
    <definedName name="RBU" localSheetId="11">'Endow_R'!$R$2</definedName>
    <definedName name="RBU" localSheetId="10">'Loan_R'!$O$2</definedName>
    <definedName name="RBU" localSheetId="7">'Oper Exp_R'!$M$2</definedName>
    <definedName name="RBU" localSheetId="12">'R&amp;U Plant_R'!$P$2</definedName>
    <definedName name="RBU">#REF!</definedName>
    <definedName name="RID" localSheetId="11">'Endow_R'!$R$3</definedName>
    <definedName name="RID" localSheetId="10">'Loan_R'!$O$3</definedName>
    <definedName name="RID" localSheetId="7">'Oper Exp_R'!$M$3</definedName>
    <definedName name="RID" localSheetId="12">'R&amp;U Plant_R'!$P$3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<sst xmlns="http://schemas.openxmlformats.org/spreadsheetml/2006/main" count="4972" uniqueCount="3431">
  <si>
    <t>%,VR0046</t>
  </si>
  <si>
    <t>I R COOK MEM SCHP</t>
  </si>
  <si>
    <t>%,VR0047</t>
  </si>
  <si>
    <t>COOKSEY MEM AWD</t>
  </si>
  <si>
    <t>%,VR0048</t>
  </si>
  <si>
    <t>J ROBERT COOK SCHP</t>
  </si>
  <si>
    <t>%,VR0049</t>
  </si>
  <si>
    <t>R L COOPER SCHP</t>
  </si>
  <si>
    <t>%,VR0050</t>
  </si>
  <si>
    <t>COTERIE SCHP</t>
  </si>
  <si>
    <t>%,VR0051</t>
  </si>
  <si>
    <t>COGHILL ENDOW SCHP</t>
  </si>
  <si>
    <t>%,VR0052</t>
  </si>
  <si>
    <t>D G CRECELIUS SCHP</t>
  </si>
  <si>
    <t>%,VR0053</t>
  </si>
  <si>
    <t>CROSS COUNTRY ED SCH</t>
  </si>
  <si>
    <t>%,VR0054</t>
  </si>
  <si>
    <t>JOHN DAILY END SCHP</t>
  </si>
  <si>
    <t>%,VR0055</t>
  </si>
  <si>
    <t>F H DEARING ED SCH</t>
  </si>
  <si>
    <t>%,VR0056</t>
  </si>
  <si>
    <t>F E DENNIE MEM SCH</t>
  </si>
  <si>
    <t>%,VR0058</t>
  </si>
  <si>
    <t>DRESSER END SCHP</t>
  </si>
  <si>
    <t>%,VR0059</t>
  </si>
  <si>
    <t>EASLEY SCHOLARSHIP</t>
  </si>
  <si>
    <t>%,VR0060</t>
  </si>
  <si>
    <t>ECK ENDOWED SCHP</t>
  </si>
  <si>
    <t>%,VR0061</t>
  </si>
  <si>
    <t>ECKHOFF ENDOWED SCHP</t>
  </si>
  <si>
    <t>%,VR0062</t>
  </si>
  <si>
    <t>ECONOMICS ALUM SCHP</t>
  </si>
  <si>
    <t>%,VR0063</t>
  </si>
  <si>
    <t>EDWARDS SCH</t>
  </si>
  <si>
    <t>%,VR0064</t>
  </si>
  <si>
    <t>F S ELFRED SCHP</t>
  </si>
  <si>
    <t>%,VR0065</t>
  </si>
  <si>
    <t>END SCHP FOR MIN ENG</t>
  </si>
  <si>
    <t>%,VR0066</t>
  </si>
  <si>
    <t>EMANUEL MEM SCHP</t>
  </si>
  <si>
    <t>%,VR0067</t>
  </si>
  <si>
    <t>ENGLISH SCHP</t>
  </si>
  <si>
    <t>%,VR0068</t>
  </si>
  <si>
    <t>EPPELSHEIMER SCHP</t>
  </si>
  <si>
    <t>%,VR0069</t>
  </si>
  <si>
    <t>FASER END SCHP</t>
  </si>
  <si>
    <t>%,VR0070</t>
  </si>
  <si>
    <t>THOMAS FAUCETT SCH</t>
  </si>
  <si>
    <t>%,VR0071</t>
  </si>
  <si>
    <t>FCR END RES FELLOW</t>
  </si>
  <si>
    <t>%,VR0072</t>
  </si>
  <si>
    <t>FCR UNDERGRAD RES FE</t>
  </si>
  <si>
    <t>%,VR0073</t>
  </si>
  <si>
    <t>S FEDER MEM SCHP</t>
  </si>
  <si>
    <t>%,VR0074</t>
  </si>
  <si>
    <t>FINDLEY SCHP</t>
  </si>
  <si>
    <t>%,VR0075</t>
  </si>
  <si>
    <t>FINLEY FELLOWSHIP CM</t>
  </si>
  <si>
    <t>%,VR0076</t>
  </si>
  <si>
    <t>FINLEY MINORITY SCHP</t>
  </si>
  <si>
    <t>%,VR0077</t>
  </si>
  <si>
    <t>FINLEY SCHP ELEC ENG</t>
  </si>
  <si>
    <t>%,VR0078</t>
  </si>
  <si>
    <t>J L FLEBBE MEM SCHP</t>
  </si>
  <si>
    <t>%,VR0079</t>
  </si>
  <si>
    <t>FORD/EEOC SCHP</t>
  </si>
  <si>
    <t>%,VR0081</t>
  </si>
  <si>
    <t>FREEMAN END SCHP</t>
  </si>
  <si>
    <t>%,VR0082</t>
  </si>
  <si>
    <t>%,VR0083</t>
  </si>
  <si>
    <t>FULTON SCH A &amp; S</t>
  </si>
  <si>
    <t>%,VR0084</t>
  </si>
  <si>
    <t>GEO ENG ENV SCHP</t>
  </si>
  <si>
    <t>%,VR0086</t>
  </si>
  <si>
    <t>GJELSTEEN END SCHP</t>
  </si>
  <si>
    <t>%,VR0087</t>
  </si>
  <si>
    <t>GIESEKE MEM SCHP</t>
  </si>
  <si>
    <t>%,VR0088</t>
  </si>
  <si>
    <t>A F GOLICK AWD METAL</t>
  </si>
  <si>
    <t>%,VR0089</t>
  </si>
  <si>
    <t>GRAHAM SCHOLARSHIP</t>
  </si>
  <si>
    <t>%,VR0090</t>
  </si>
  <si>
    <t>H H GRICE SCH FUND</t>
  </si>
  <si>
    <t>%,VR0091</t>
  </si>
  <si>
    <t>GRIESENAUER SCHP</t>
  </si>
  <si>
    <t>%,VR0092</t>
  </si>
  <si>
    <t>GRIMM EE SCHP</t>
  </si>
  <si>
    <t>%,VR0093</t>
  </si>
  <si>
    <t>C J GRIMM SCHP</t>
  </si>
  <si>
    <t>%,VR0094</t>
  </si>
  <si>
    <t>GUNTHER END SCHOL</t>
  </si>
  <si>
    <t>%,VR0096</t>
  </si>
  <si>
    <t>HAMBLEN COMPUTER SCH</t>
  </si>
  <si>
    <t>%,VR0098</t>
  </si>
  <si>
    <t>HEILBRUNN SCHP</t>
  </si>
  <si>
    <t>%,VR0099</t>
  </si>
  <si>
    <t>ALBERT HAPPY SCHP</t>
  </si>
  <si>
    <t>%,VR0100</t>
  </si>
  <si>
    <t xml:space="preserve">                 Increase (Decrease) in Net Assets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</si>
  <si>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</si>
  <si>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</si>
  <si>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</si>
  <si>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</si>
  <si>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</si>
  <si>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</si>
  <si>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</si>
  <si>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</si>
  <si>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</si>
  <si>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</si>
  <si>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</si>
  <si>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</si>
  <si>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</si>
  <si>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</si>
  <si>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</si>
  <si>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</si>
  <si>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</si>
  <si>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</si>
  <si>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2006-06-30</t>
  </si>
  <si>
    <t>Rolla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</si>
  <si>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</si>
  <si>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</si>
  <si>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</si>
  <si>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</si>
  <si>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</si>
  <si>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</si>
  <si>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</si>
  <si>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</si>
  <si>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</si>
  <si>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</si>
  <si>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</si>
  <si>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</si>
  <si>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</si>
  <si>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</si>
  <si>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</si>
  <si>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</si>
  <si>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</si>
  <si>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</si>
  <si>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</si>
  <si>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</si>
  <si>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</si>
  <si>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</si>
  <si>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</si>
  <si>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</si>
  <si>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</si>
  <si>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%,V114000</t>
  </si>
  <si>
    <t>Cash on deposit</t>
  </si>
  <si>
    <t>114000</t>
  </si>
  <si>
    <t>%,V121000</t>
  </si>
  <si>
    <t>Temp Invest - Gen Pool 2</t>
  </si>
  <si>
    <t>121000</t>
  </si>
  <si>
    <t>%,V121200</t>
  </si>
  <si>
    <t>Temp Invest - Spec Instruction</t>
  </si>
  <si>
    <t>121200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</si>
  <si>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</si>
  <si>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</si>
  <si>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</si>
  <si>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</si>
  <si>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</si>
  <si>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</si>
  <si>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</si>
  <si>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</si>
  <si>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</si>
  <si>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</si>
  <si>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</si>
  <si>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</si>
  <si>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</si>
  <si>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</si>
  <si>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</si>
  <si>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</si>
  <si>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</si>
  <si>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</si>
  <si>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</si>
  <si>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</si>
  <si>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</si>
  <si>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</si>
  <si>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</si>
  <si>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</si>
  <si>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</si>
  <si>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%,V133160</t>
  </si>
  <si>
    <t>Accts Rec - Unbilled AR-Grants</t>
  </si>
  <si>
    <t>133160</t>
  </si>
  <si>
    <t>%,V133900</t>
  </si>
  <si>
    <t>Allowance AR Grants</t>
  </si>
  <si>
    <t>133900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</si>
  <si>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</si>
  <si>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</si>
  <si>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</si>
  <si>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</si>
  <si>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%,V130000</t>
  </si>
  <si>
    <t>Current Pledges Receivable</t>
  </si>
  <si>
    <t>130000</t>
  </si>
  <si>
    <t>%,FACCOUNT,TGASB_34_35,X,NCURRENT PLEDGES REC</t>
  </si>
  <si>
    <t>%,V132000</t>
  </si>
  <si>
    <t>Accts rec - students</t>
  </si>
  <si>
    <t>132000</t>
  </si>
  <si>
    <t>%,V132200</t>
  </si>
  <si>
    <t>Accounts Receivable-PS AR/BI</t>
  </si>
  <si>
    <t>132200</t>
  </si>
  <si>
    <t>%,V132300</t>
  </si>
  <si>
    <t>AR/BI - Year End Manual</t>
  </si>
  <si>
    <t>132300</t>
  </si>
  <si>
    <t>%,V132500</t>
  </si>
  <si>
    <t>Accts rec - miscellaneous</t>
  </si>
  <si>
    <t>132500</t>
  </si>
  <si>
    <t>%,V140000</t>
  </si>
  <si>
    <t>Allow for uncoll student accts</t>
  </si>
  <si>
    <t>140000</t>
  </si>
  <si>
    <t>%,V160000</t>
  </si>
  <si>
    <t>Suspense</t>
  </si>
  <si>
    <t>160000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</si>
  <si>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</si>
  <si>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</si>
  <si>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</si>
  <si>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</si>
  <si>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</si>
  <si>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</si>
  <si>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</si>
  <si>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</si>
  <si>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</si>
  <si>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</si>
  <si>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</si>
  <si>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</si>
  <si>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</si>
  <si>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</si>
  <si>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%,V138250</t>
  </si>
  <si>
    <t>Student Loans Outstanding-S T</t>
  </si>
  <si>
    <t>138250</t>
  </si>
  <si>
    <t>%,FACCOUNT,TGASB_34_35,X,NCURRENT NOTES REC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</si>
  <si>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</si>
  <si>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</si>
  <si>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</si>
  <si>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</si>
  <si>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</si>
  <si>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%,V130500</t>
  </si>
  <si>
    <t>Pledges Receivable</t>
  </si>
  <si>
    <t>130500</t>
  </si>
  <si>
    <t>%,FACCOUNT,TGASB_34_35,X,NPLEDGES RECEIVABLE</t>
  </si>
  <si>
    <t>%,V135000</t>
  </si>
  <si>
    <t>Student loans rec -collections</t>
  </si>
  <si>
    <t>135000</t>
  </si>
  <si>
    <t>%,V136000</t>
  </si>
  <si>
    <t>Student loans rec-loans issued</t>
  </si>
  <si>
    <t>136000</t>
  </si>
  <si>
    <t>%,V137000</t>
  </si>
  <si>
    <t>Student loans-outstanding loan</t>
  </si>
  <si>
    <t>137000</t>
  </si>
  <si>
    <t>%,V137500</t>
  </si>
  <si>
    <t>Allow for uncoll student loans</t>
  </si>
  <si>
    <t>137500</t>
  </si>
  <si>
    <t>%,FACCOUNT,TGASB_34_35,X,NNOTES  RECEIVABLE</t>
  </si>
  <si>
    <t>%,V165100</t>
  </si>
  <si>
    <t>Bond issue cost</t>
  </si>
  <si>
    <t>165100</t>
  </si>
  <si>
    <t>%,FACCOUNT,TGASB_34_35,X,NDEFERRED AND OTHER</t>
  </si>
  <si>
    <t>%,V122000</t>
  </si>
  <si>
    <t>Long term inv -seminary funds</t>
  </si>
  <si>
    <t>122000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</si>
  <si>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</si>
  <si>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</si>
  <si>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</si>
  <si>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</si>
  <si>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</si>
  <si>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</si>
  <si>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</si>
  <si>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</si>
  <si>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</si>
  <si>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</si>
  <si>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</si>
  <si>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</si>
  <si>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</si>
  <si>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</si>
  <si>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</si>
  <si>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</si>
  <si>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</si>
  <si>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</si>
  <si>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</si>
  <si>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</si>
  <si>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</si>
  <si>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</si>
  <si>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</si>
  <si>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</si>
  <si>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</si>
  <si>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</si>
  <si>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</si>
  <si>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</si>
  <si>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</si>
  <si>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</si>
  <si>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</si>
  <si>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</si>
  <si>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</si>
  <si>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</si>
  <si>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</si>
  <si>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</si>
  <si>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</si>
  <si>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%,V175500</t>
  </si>
  <si>
    <t>Equipment in Process</t>
  </si>
  <si>
    <t>175500</t>
  </si>
  <si>
    <t>%,V175900</t>
  </si>
  <si>
    <t>Furn &amp; equip - accum deprec</t>
  </si>
  <si>
    <t>175900</t>
  </si>
  <si>
    <t>%,V176000</t>
  </si>
  <si>
    <t>Books</t>
  </si>
  <si>
    <t>176000</t>
  </si>
  <si>
    <t>%,V176900</t>
  </si>
  <si>
    <t>Books - accumulated deprec</t>
  </si>
  <si>
    <t>176900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</si>
  <si>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</si>
  <si>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</si>
  <si>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</si>
  <si>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</si>
  <si>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</si>
  <si>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</si>
  <si>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</si>
  <si>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</si>
  <si>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</si>
  <si>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</si>
  <si>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</si>
  <si>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</si>
  <si>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</si>
  <si>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year end upload</t>
  </si>
  <si>
    <t>211000</t>
  </si>
  <si>
    <t>%,V211003</t>
  </si>
  <si>
    <t>Estimated payables (manual)</t>
  </si>
  <si>
    <t>211003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</si>
  <si>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</si>
  <si>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</si>
  <si>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</si>
  <si>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</si>
  <si>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</si>
  <si>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</si>
  <si>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</si>
  <si>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</si>
  <si>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</si>
  <si>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</si>
  <si>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</si>
  <si>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%,VR0301</t>
  </si>
  <si>
    <t>TANG MO PROF COMP EN</t>
  </si>
  <si>
    <t>%,VR0302</t>
  </si>
  <si>
    <t>TAPPMEYER ENDOW</t>
  </si>
  <si>
    <t>%,VR0304</t>
  </si>
  <si>
    <t>UMR BAND FUND</t>
  </si>
  <si>
    <t>%,VR0311</t>
  </si>
  <si>
    <t>WEINER MO PROF</t>
  </si>
  <si>
    <t>%,VR0313</t>
  </si>
  <si>
    <t>WILKENS MO PROFESSHP</t>
  </si>
  <si>
    <t>%,VR0314</t>
  </si>
  <si>
    <t>UN PAC/ROCKY MTN PRF</t>
  </si>
  <si>
    <t>%,VR0315</t>
  </si>
  <si>
    <t>WEINER DEV PSYCH</t>
  </si>
  <si>
    <t>%,VR0316</t>
  </si>
  <si>
    <t>WEINER END MGMT SYTM</t>
  </si>
  <si>
    <t>%,VR0317</t>
  </si>
  <si>
    <t>WEINER END ENGLISH</t>
  </si>
  <si>
    <t>%,VR0318</t>
  </si>
  <si>
    <t>WEINER END ECONOMICS</t>
  </si>
  <si>
    <t>%,VR0319</t>
  </si>
  <si>
    <t>WEINER END HISTORY</t>
  </si>
  <si>
    <t>%,VR0320</t>
  </si>
  <si>
    <t>WEINER END P L A</t>
  </si>
  <si>
    <t>%,VR0321</t>
  </si>
  <si>
    <t>WEINER END ARTS/SCI</t>
  </si>
  <si>
    <t>%,VR0322</t>
  </si>
  <si>
    <t>WEINER ENDOW PERFORM</t>
  </si>
  <si>
    <t>%,VR0323</t>
  </si>
  <si>
    <t>WEINER FD LEACH THEA</t>
  </si>
  <si>
    <t>%,VR0324</t>
  </si>
  <si>
    <t>WEINER KUMR END FUND</t>
  </si>
  <si>
    <t>%,VR0325</t>
  </si>
  <si>
    <t>WEINER FUND WRITING</t>
  </si>
  <si>
    <t>%,VR0327</t>
  </si>
  <si>
    <t>Accenture Scholarship Fund</t>
  </si>
  <si>
    <t>%,VR0328</t>
  </si>
  <si>
    <t>BAILEY ENDOWED SCHP</t>
  </si>
  <si>
    <t>%,VR0329</t>
  </si>
  <si>
    <t>BARNETT ENDOW CHEM</t>
  </si>
  <si>
    <t>%,VR0332</t>
  </si>
  <si>
    <t>DAVIES FAMILY SCHP</t>
  </si>
  <si>
    <t>%,VR0336</t>
  </si>
  <si>
    <t>EVENSON MEMORIAL FD</t>
  </si>
  <si>
    <t>%,VR0337</t>
  </si>
  <si>
    <t>FOURNELLE SCHP MET</t>
  </si>
  <si>
    <t>%,VR0343</t>
  </si>
  <si>
    <t>LASKO ATHLETIC FUND</t>
  </si>
  <si>
    <t>%,VR0344</t>
  </si>
  <si>
    <t>LEGSDIN ENGLISH SCHP</t>
  </si>
  <si>
    <t>%,VR0345</t>
  </si>
  <si>
    <t>LEGSDIN ECONOMICS SP</t>
  </si>
  <si>
    <t>%,VR0346</t>
  </si>
  <si>
    <t>NELSON EE FUND</t>
  </si>
  <si>
    <t>%,VR0348</t>
  </si>
  <si>
    <t>PARKER END SCHP</t>
  </si>
  <si>
    <t>%,VR0349</t>
  </si>
  <si>
    <t>PROFESHIP ENGR MGNT</t>
  </si>
  <si>
    <t>%,VR0351</t>
  </si>
  <si>
    <t>SCOTT MEMORIAL FLSHP</t>
  </si>
  <si>
    <t>%,VR0352</t>
  </si>
  <si>
    <t>SNOWDEN ENGR SCHP</t>
  </si>
  <si>
    <t>%,VR0353</t>
  </si>
  <si>
    <t>STUECK CIVIL ENDOW</t>
  </si>
  <si>
    <t>%,VR0355</t>
  </si>
  <si>
    <t>SUMMERS ED FUND</t>
  </si>
  <si>
    <t>%,VR0356</t>
  </si>
  <si>
    <t>UNSELL SCHP CIVIL</t>
  </si>
  <si>
    <t>%,VR0357</t>
  </si>
  <si>
    <t>WARNER MIN ENGR SCHP</t>
  </si>
  <si>
    <t>%,VR0358</t>
  </si>
  <si>
    <t>WIDMER SOFTWARE SCHP</t>
  </si>
  <si>
    <t>%,VR0359</t>
  </si>
  <si>
    <t>WOLF PROFESSORSHIP</t>
  </si>
  <si>
    <t>%,VR0386</t>
  </si>
  <si>
    <t>DOUGLAS END SCHP</t>
  </si>
  <si>
    <t>%,VR0387</t>
  </si>
  <si>
    <t>GARVEY MET SCHP</t>
  </si>
  <si>
    <t>%,VR0388</t>
  </si>
  <si>
    <t>KOCH ENDOWED SCHP</t>
  </si>
  <si>
    <t>%,VR0389</t>
  </si>
  <si>
    <t>PRIESTER SCHP</t>
  </si>
  <si>
    <t>%,VR0390</t>
  </si>
  <si>
    <t>Seminary - A &amp; M</t>
  </si>
  <si>
    <t>%,VR0391</t>
  </si>
  <si>
    <t>Seminary - Endowment General</t>
  </si>
  <si>
    <t>%,VR0392</t>
  </si>
  <si>
    <t>PORTH DIST LECTURE</t>
  </si>
  <si>
    <t>%,VR0394</t>
  </si>
  <si>
    <t>DEUTCH ENDWD FUND</t>
  </si>
  <si>
    <t>%,VR0395</t>
  </si>
  <si>
    <t>MODESITT SCHP FUND</t>
  </si>
  <si>
    <t>%,VR0397</t>
  </si>
  <si>
    <t>VOLK ENDOWED SCHP</t>
  </si>
  <si>
    <t>%,VR0401</t>
  </si>
  <si>
    <t>CENTER STAGE CLUB FD</t>
  </si>
  <si>
    <t>%,VR0402</t>
  </si>
  <si>
    <t>HART SCHOLARSHIP</t>
  </si>
  <si>
    <t>%,VR0403</t>
  </si>
  <si>
    <t>SCHMIDT ENDOWED SCHP</t>
  </si>
  <si>
    <t>%,VR0416</t>
  </si>
  <si>
    <t>NANCY S&amp;JOHN W CLAYPOOL FUND</t>
  </si>
  <si>
    <t>%,VR0417</t>
  </si>
  <si>
    <t>FORSEE FAMILY ENGR FACULTY FD</t>
  </si>
  <si>
    <t>%,VR0420</t>
  </si>
  <si>
    <t>FORSEE FAMILY ENGR SCHOLARSHIP</t>
  </si>
  <si>
    <t>%,VR0422</t>
  </si>
  <si>
    <t>ROBERT *KEISER ENDOWED SCHP</t>
  </si>
  <si>
    <t>%,VR0423</t>
  </si>
  <si>
    <t>KENT W *LYNN ENDOWED SCHP</t>
  </si>
  <si>
    <t>%,VR0424</t>
  </si>
  <si>
    <t>MARK X *STRATMAN ENDOWED SCHP</t>
  </si>
  <si>
    <t>%,VR0426</t>
  </si>
  <si>
    <t>R Keiser Endowed Fac</t>
  </si>
  <si>
    <t>%,VR0427</t>
  </si>
  <si>
    <t>MO ASPHALT PAVEMENT FELSHIP</t>
  </si>
  <si>
    <t>%,VR0430</t>
  </si>
  <si>
    <t>JOHN LOCKE ENDOWED SCHP</t>
  </si>
  <si>
    <t>%,VR0431</t>
  </si>
  <si>
    <t>ELLEN M *HODGES MEMORIAL SCHP</t>
  </si>
  <si>
    <t>%,VR0433</t>
  </si>
  <si>
    <t>HEAGLER SCHP CIVIL ENGR</t>
  </si>
  <si>
    <t>%,VR0434</t>
  </si>
  <si>
    <t>WEISE FRESHMAN ENGR SCHP</t>
  </si>
  <si>
    <t>%,VR0435</t>
  </si>
  <si>
    <t>FRIS ENDOWED SCHOLARSHIP</t>
  </si>
  <si>
    <t>%,VR0436</t>
  </si>
  <si>
    <t>BAILEY ATHLETIC ENDOWMENT</t>
  </si>
  <si>
    <t>%,VR0445</t>
  </si>
  <si>
    <t>BOAZ SCHP CIVIL</t>
  </si>
  <si>
    <t>%,VR0446</t>
  </si>
  <si>
    <t>PAUL W *ELOE GRAD FELLOWSHIP</t>
  </si>
  <si>
    <t>%,VR0447</t>
  </si>
  <si>
    <t>SICKAFUS ENDOWED</t>
  </si>
  <si>
    <t>%,VR0448</t>
  </si>
  <si>
    <t>BROWNGARD ENDOWED SCHOLARSHIP</t>
  </si>
  <si>
    <t>%,VR0449</t>
  </si>
  <si>
    <t>GRAYSON INTERNET COMPUTING</t>
  </si>
  <si>
    <t>%,VR0450</t>
  </si>
  <si>
    <t>LOVITT INTERNET COMPUTING</t>
  </si>
  <si>
    <t>%,VR0451</t>
  </si>
  <si>
    <t>MCKEE ENDOWED SCHOLARSHIP</t>
  </si>
  <si>
    <t>%,VR0452</t>
  </si>
  <si>
    <t>RICHARD W HANNUM ENDOWED DEV</t>
  </si>
  <si>
    <t>%,VR0453</t>
  </si>
  <si>
    <t>CHEMICAL ENGR FLEXIBLE END FD</t>
  </si>
  <si>
    <t>%,VR0454</t>
  </si>
  <si>
    <t>MO CONFERENCE SCHP</t>
  </si>
  <si>
    <t>%,VR0455</t>
  </si>
  <si>
    <t>RICHARD L *BULLOCK RECRUIT FUN</t>
  </si>
  <si>
    <t>%,VR0456</t>
  </si>
  <si>
    <t>SPRINGER SCHP FUND</t>
  </si>
  <si>
    <t>%,VR0465</t>
  </si>
  <si>
    <t>BLUE KEY SCHP FUND</t>
  </si>
  <si>
    <t>%,VR0467</t>
  </si>
  <si>
    <t>Carlstrom Endowed Schp</t>
  </si>
  <si>
    <t>%,VR0468</t>
  </si>
  <si>
    <t>Mcghee Endowed Scholarship</t>
  </si>
  <si>
    <t>%,VR0469</t>
  </si>
  <si>
    <t>Quenon Endowed Lectureship</t>
  </si>
  <si>
    <t>%,VR0470</t>
  </si>
  <si>
    <t>Thompson Endow Sch Petro Engr</t>
  </si>
  <si>
    <t>%,VR0471</t>
  </si>
  <si>
    <t>Toomey Park Sch Fnd UMR Fresh</t>
  </si>
  <si>
    <t>%,VR0475</t>
  </si>
  <si>
    <t>JAMES SCHP FUND</t>
  </si>
  <si>
    <t>%,VR0476</t>
  </si>
  <si>
    <t>Wright Endowed Schp</t>
  </si>
  <si>
    <t>%,VR0479</t>
  </si>
  <si>
    <t>KISSLINGER METALLURGY ENDOW</t>
  </si>
  <si>
    <t>%,VR0480</t>
  </si>
  <si>
    <t>KISSLINGER ATHLETIC ENDOW</t>
  </si>
  <si>
    <t>%,VR0484</t>
  </si>
  <si>
    <t>CONSTANCE R BROWN EN FD HIS &amp;</t>
  </si>
  <si>
    <t>%,VR0486</t>
  </si>
  <si>
    <t>Finley Endow Scholar Ath</t>
  </si>
  <si>
    <t>%,VR0487</t>
  </si>
  <si>
    <t>DOSHI QUASI ENDOWMENT FUND</t>
  </si>
  <si>
    <t>%,VR0488</t>
  </si>
  <si>
    <t>F H CONRAD CHEM ENGR SCH</t>
  </si>
  <si>
    <t>%,VR0489</t>
  </si>
  <si>
    <t>PHILIP &amp; DIANE WADE ENDOWMENT</t>
  </si>
  <si>
    <t>%,VR0490</t>
  </si>
  <si>
    <t>CONSTANCE BROWN FACULTY EXCELL</t>
  </si>
  <si>
    <t>%,VR0491</t>
  </si>
  <si>
    <t>CHARLES &amp; JEAN NASLUND ENDOWED</t>
  </si>
  <si>
    <t>%,VR0492</t>
  </si>
  <si>
    <t>ASSOCIATED GENERAL CONTRACTORS</t>
  </si>
  <si>
    <t>%,VR0493</t>
  </si>
  <si>
    <t>MICHAEL BRATCHER ENDOWED FUND</t>
  </si>
  <si>
    <t>%,VR0495</t>
  </si>
  <si>
    <t>BROWNING SCHOLARSHIP</t>
  </si>
  <si>
    <t>%,VR0497</t>
  </si>
  <si>
    <t>WILLIAM M BYRNE SCHOLARS</t>
  </si>
  <si>
    <t>%,VR0505</t>
  </si>
  <si>
    <t>WEIR ENDOWED SCHOLARSHIP FUND</t>
  </si>
  <si>
    <t>%,VR0508</t>
  </si>
  <si>
    <t>GLADBACH ENDOWED FUND GEOLOGY</t>
  </si>
  <si>
    <t>%,VR0510</t>
  </si>
  <si>
    <t>GRANT FIELD CAMP SCHOLARSHIP</t>
  </si>
  <si>
    <t>%,VR0511</t>
  </si>
  <si>
    <t>BERNARD R SARCHET DISTINGUISHE</t>
  </si>
  <si>
    <t>%,VR0517</t>
  </si>
  <si>
    <t>LESTER BIRBECK CHAIR</t>
  </si>
  <si>
    <t>%,VR0525</t>
  </si>
  <si>
    <t>WIGGINS ENDOWED FUND HISTORY</t>
  </si>
  <si>
    <t>%,VR0526</t>
  </si>
  <si>
    <t>ENGLISH ALUMNI ENDOWED SCH</t>
  </si>
  <si>
    <t>%,VR0531</t>
  </si>
  <si>
    <t>THOMAS &amp; CAROL VOSS ENDOWED</t>
  </si>
  <si>
    <t>%,VR0532</t>
  </si>
  <si>
    <t>JENNINGS ENDOWED SCHOLARSHIP</t>
  </si>
  <si>
    <t>%,VR0535</t>
  </si>
  <si>
    <t>FRANCES W KERR MEMORIAL FUND</t>
  </si>
  <si>
    <t>%,VR0537</t>
  </si>
  <si>
    <t>LEE ENDOWED SCHOLARSHIP</t>
  </si>
  <si>
    <t>%,VR0541</t>
  </si>
  <si>
    <t>GILBERT R SHOCKLEY ENDOWED SCH</t>
  </si>
  <si>
    <t>%,VR0542</t>
  </si>
  <si>
    <t>FARMER ENDOWMENT PETROLEUM</t>
  </si>
  <si>
    <t>%,VR0543</t>
  </si>
  <si>
    <t>CADOFF ENDOWED SCHP FUND</t>
  </si>
  <si>
    <t>%,VR0544</t>
  </si>
  <si>
    <t>ANHEUSER-BUSCH ENDOWED SCHP</t>
  </si>
  <si>
    <t>%,VR0546</t>
  </si>
  <si>
    <t>WOODARD SCHOLARS ENDOWMENT</t>
  </si>
  <si>
    <t>%,VR0547</t>
  </si>
  <si>
    <t>MUELLER MANUFACTURING ENGR SCH</t>
  </si>
  <si>
    <t>%,VR0548</t>
  </si>
  <si>
    <t>ROBIN R AND PAMELA F MINGO END</t>
  </si>
  <si>
    <t>%,VR0550</t>
  </si>
  <si>
    <t>MATH TEACHER SCHOLARSHIP</t>
  </si>
  <si>
    <t>%,VR0551</t>
  </si>
  <si>
    <t>STUECK END SCHP FD CIVIL ENGR</t>
  </si>
  <si>
    <t>%,VR0553</t>
  </si>
  <si>
    <t>RON ECKELKAMP ENDOWED FELLOW</t>
  </si>
  <si>
    <t>%,VR0554</t>
  </si>
  <si>
    <t>COMP SCI EQUIP END</t>
  </si>
  <si>
    <t>%,VR0555</t>
  </si>
  <si>
    <t>MICHAEL D HURST END FELLOWSHIP</t>
  </si>
  <si>
    <t>%,VR0556</t>
  </si>
  <si>
    <t>DOUTHITT SCHOLARS</t>
  </si>
  <si>
    <t>%,VR0557</t>
  </si>
  <si>
    <t>JOE VESSELL EXCELLENCE FUND</t>
  </si>
  <si>
    <t>%,VR0558</t>
  </si>
  <si>
    <t>CLARK/ROBERTS ENDOWED SCHP</t>
  </si>
  <si>
    <t>%,VR0559</t>
  </si>
  <si>
    <t>TM ML MCMILLEN SCHOLARSHIP</t>
  </si>
  <si>
    <t>%,VR0560</t>
  </si>
  <si>
    <t>COMP SCI PROFESSORSHIP</t>
  </si>
  <si>
    <t>%,VR0562</t>
  </si>
  <si>
    <t>F PREWITT SR ENDOWED SCHOLARSH</t>
  </si>
  <si>
    <t>%,VR0563</t>
  </si>
  <si>
    <t>NEVINS FUND</t>
  </si>
  <si>
    <t>%,VR0564</t>
  </si>
  <si>
    <t>KOVAL SCHOLARSHIP</t>
  </si>
  <si>
    <t>%,VR0565</t>
  </si>
  <si>
    <t>LOVERIDGE FAMILY SCHOLARSHIP</t>
  </si>
  <si>
    <t>%,VR0566</t>
  </si>
  <si>
    <t>WOODARD ENDOWED SCHOLARSHIP</t>
  </si>
  <si>
    <t>%,VR0567</t>
  </si>
  <si>
    <t>KENT WEISENSTEIN SCHOLARSHIP</t>
  </si>
  <si>
    <t>%,VR0568</t>
  </si>
  <si>
    <t>WALTENSPIEL SCHOLARSHIP</t>
  </si>
  <si>
    <t>%,VR0569</t>
  </si>
  <si>
    <t>RAO ENDOWED SCHOLARSHIP</t>
  </si>
  <si>
    <t>%,VR0570</t>
  </si>
  <si>
    <t>BIO SCI RESEARCH ENDOWMENT</t>
  </si>
  <si>
    <t>%,VR0571</t>
  </si>
  <si>
    <t>BUD MERCIER END SCHOLARSHIP</t>
  </si>
  <si>
    <t>%,VR0573</t>
  </si>
  <si>
    <t>SUMMERS ENDOWED SCHOLARSHIP</t>
  </si>
  <si>
    <t>%,VR0574</t>
  </si>
  <si>
    <t>DEKOCK ENDOWED SCHOLARSHIP</t>
  </si>
  <si>
    <t>%,VR0575</t>
  </si>
  <si>
    <t>Hankinson Endowed Scholarship</t>
  </si>
  <si>
    <t>%,VR0576</t>
  </si>
  <si>
    <t>R TAYLOR ENDOWED SCHOLARSHIP</t>
  </si>
  <si>
    <t>%,VR0577</t>
  </si>
  <si>
    <t>J A PIKA SCHOLARSHIP</t>
  </si>
  <si>
    <t>%,VR0578</t>
  </si>
  <si>
    <t>WEISE KAPPA ALPHA SCHOLARSHIP</t>
  </si>
  <si>
    <t>%,VR0579</t>
  </si>
  <si>
    <t>Gladbach Endowed Scholarship</t>
  </si>
  <si>
    <t>%,VR0580</t>
  </si>
  <si>
    <t>J Wolf Beta Alpha/Kappa Alpha</t>
  </si>
  <si>
    <t>%,VR0581</t>
  </si>
  <si>
    <t>MARY LOU CASTLEMAN ENDOWED SCH</t>
  </si>
  <si>
    <t>%,VR0582</t>
  </si>
  <si>
    <t>kappa Alpha Order Sch Access-A</t>
  </si>
  <si>
    <t>%,VR0583</t>
  </si>
  <si>
    <t>ALUMNI ASSOC NEED BASED ENDOWE</t>
  </si>
  <si>
    <t>711100</t>
  </si>
  <si>
    <t>%,V711200</t>
  </si>
  <si>
    <t>SB-Non-Exempt Students</t>
  </si>
  <si>
    <t>711200</t>
  </si>
  <si>
    <t>%,V715000</t>
  </si>
  <si>
    <t>SB-Moving expense</t>
  </si>
  <si>
    <t>715000</t>
  </si>
  <si>
    <t>%,V716000</t>
  </si>
  <si>
    <t>SB-In kind room &amp; board</t>
  </si>
  <si>
    <t>716000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</si>
  <si>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</si>
  <si>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</si>
  <si>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</si>
  <si>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</si>
  <si>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</si>
  <si>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</si>
  <si>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</si>
  <si>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</si>
  <si>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</si>
  <si>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</si>
  <si>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%,V450200</t>
  </si>
  <si>
    <t>Lab collections</t>
  </si>
  <si>
    <t>450200</t>
  </si>
  <si>
    <t>%,V600000</t>
  </si>
  <si>
    <t>Cost of Goods Sold</t>
  </si>
  <si>
    <t>600000</t>
  </si>
  <si>
    <t>%,V600500</t>
  </si>
  <si>
    <t>COGS Clothing</t>
  </si>
  <si>
    <t>600500</t>
  </si>
  <si>
    <t>%,V601100</t>
  </si>
  <si>
    <t>COGS Custom publishing</t>
  </si>
  <si>
    <t>601100</t>
  </si>
  <si>
    <t>%,V601300</t>
  </si>
  <si>
    <t>COGS Food</t>
  </si>
  <si>
    <t>601300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</si>
  <si>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</si>
  <si>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</si>
  <si>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</si>
  <si>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</si>
  <si>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</si>
  <si>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</si>
  <si>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</si>
  <si>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</si>
  <si>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</si>
  <si>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</si>
  <si>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</si>
  <si>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</si>
  <si>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</si>
  <si>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</si>
  <si>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</si>
  <si>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</si>
  <si>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</si>
  <si>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</si>
  <si>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%,V721410</t>
  </si>
  <si>
    <t>Charter Travel</t>
  </si>
  <si>
    <t>721410</t>
  </si>
  <si>
    <t>%,V721430</t>
  </si>
  <si>
    <t>Team Travel</t>
  </si>
  <si>
    <t>721430</t>
  </si>
  <si>
    <t>%,V721450</t>
  </si>
  <si>
    <t>Recruiting Travel</t>
  </si>
  <si>
    <t>721450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</si>
  <si>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</si>
  <si>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</si>
  <si>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</si>
  <si>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</si>
  <si>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</si>
  <si>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</si>
  <si>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</si>
  <si>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</si>
  <si>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</si>
  <si>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</si>
  <si>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</si>
  <si>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</si>
  <si>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</si>
  <si>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</si>
  <si>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</si>
  <si>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</si>
  <si>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</si>
  <si>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</si>
  <si>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</si>
  <si>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</si>
  <si>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</si>
  <si>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</si>
  <si>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</si>
  <si>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</si>
  <si>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</si>
  <si>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</si>
  <si>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</si>
  <si>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</si>
  <si>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</si>
  <si>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</si>
  <si>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</si>
  <si>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</si>
  <si>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</si>
  <si>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%,V722500</t>
  </si>
  <si>
    <t>F/S t/d-trav prof dev foreign</t>
  </si>
  <si>
    <t>722500</t>
  </si>
  <si>
    <t>%,V723000</t>
  </si>
  <si>
    <t>Postage/delivery services</t>
  </si>
  <si>
    <t>KATHY AND MARK WALKER ENDOWED</t>
  </si>
  <si>
    <t>%,VR0636</t>
  </si>
  <si>
    <t>CERAMICS ENGINEERING ENDOWED</t>
  </si>
  <si>
    <t>%,VR0638</t>
  </si>
  <si>
    <t>HARVEY COMMUNITY SERVICE ENDOW</t>
  </si>
  <si>
    <t>%,VR0639</t>
  </si>
  <si>
    <t>NASLUND FAMILY ENDOWED SOCCER</t>
  </si>
  <si>
    <t>%,VR0640</t>
  </si>
  <si>
    <t>JAMES-ALAN HOLT POWERS ENDOWED</t>
  </si>
  <si>
    <t>%,VR0642</t>
  </si>
  <si>
    <t>LECTURESHIP IN GEOTECHNICAL EN</t>
  </si>
  <si>
    <t>%,VR0646</t>
  </si>
  <si>
    <t>OMER ROBERTS SCHOLARS</t>
  </si>
  <si>
    <t>%,VR0648</t>
  </si>
  <si>
    <t>ST CLAIR SCHOLAR &amp; FELLOW FUND</t>
  </si>
  <si>
    <t>%,VR0649</t>
  </si>
  <si>
    <t>NELSON MEMORIAL SCHOLARSHIP</t>
  </si>
  <si>
    <t>%,VR0650</t>
  </si>
  <si>
    <t>MILES CAREER DEVELOPMENT AWARD</t>
  </si>
  <si>
    <t>%,VR0651</t>
  </si>
  <si>
    <t>GEO SCIENCE &amp; ENGINEER FLD EDU</t>
  </si>
  <si>
    <t>%,VR0653</t>
  </si>
  <si>
    <t>NUCOR ENDOWED CHAIR IN STEELMA</t>
  </si>
  <si>
    <t>%,VR0656</t>
  </si>
  <si>
    <t>STEEL BRIDGE TEAM ENDOWMENT</t>
  </si>
  <si>
    <t>%,VR4037</t>
  </si>
  <si>
    <t>UMR GRAD PWR ENGR PG</t>
  </si>
  <si>
    <t>%,VR4477</t>
  </si>
  <si>
    <t>RICKETTS SCHOLARS</t>
  </si>
  <si>
    <t>%,VR4480</t>
  </si>
  <si>
    <t>MUNGER SCHOLARSHIP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</si>
  <si>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</si>
  <si>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</si>
  <si>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</si>
  <si>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</si>
  <si>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%,VR0001</t>
  </si>
  <si>
    <t>ACADEMY CHEMICAL EN</t>
  </si>
  <si>
    <t>%,VR0002</t>
  </si>
  <si>
    <t>ACADEMY CE SCHP</t>
  </si>
  <si>
    <t>%,VR0004</t>
  </si>
  <si>
    <t>AEROSPACE ENG ENDOW</t>
  </si>
  <si>
    <t>%,VR0009</t>
  </si>
  <si>
    <t>ANDREWS C E SCHP</t>
  </si>
  <si>
    <t>%,VR0019</t>
  </si>
  <si>
    <t>BEST CIVIL ENG SCHOL</t>
  </si>
  <si>
    <t>%,VR0024</t>
  </si>
  <si>
    <t>JACK &amp; MARY BOYD SCH</t>
  </si>
  <si>
    <t>%,VR0028</t>
  </si>
  <si>
    <t>BUTLER CIVIL ENGR</t>
  </si>
  <si>
    <t>%,VR0029</t>
  </si>
  <si>
    <t>M R CAIN SCHOLARSHIP</t>
  </si>
  <si>
    <t>%,VR0031</t>
  </si>
  <si>
    <t>CARLTON CIVIL ENGR</t>
  </si>
  <si>
    <t>%,VR0032</t>
  </si>
  <si>
    <t>CARR SCHP CHEM ENGR</t>
  </si>
  <si>
    <t>%,VR0038</t>
  </si>
  <si>
    <t>CIV ENG ACH AWARD</t>
  </si>
  <si>
    <t>%,VR0044</t>
  </si>
  <si>
    <t>COMP SCI ALUMNI SCHP</t>
  </si>
  <si>
    <t>%,VR0057</t>
  </si>
  <si>
    <t>P B &amp; J J DOYLE FUND</t>
  </si>
  <si>
    <t>%,VR0080</t>
  </si>
  <si>
    <t>FRAME END SCHP</t>
  </si>
  <si>
    <t>%,VR0085</t>
  </si>
  <si>
    <t>VAC GEVECKER SCHP</t>
  </si>
  <si>
    <t>%,VR0095</t>
  </si>
  <si>
    <t>HATFIELD END SCHP</t>
  </si>
  <si>
    <t>%,VR0097</t>
  </si>
  <si>
    <t>H R HANLEY SCHOLARSH</t>
  </si>
  <si>
    <t>%,VR0102</t>
  </si>
  <si>
    <t>HAVENER SCHP</t>
  </si>
  <si>
    <t>%,VR0104</t>
  </si>
  <si>
    <t>HEAGLER CIV ENG SCH</t>
  </si>
  <si>
    <t>%,VR0108</t>
  </si>
  <si>
    <t>STONEHENGE SCHP</t>
  </si>
  <si>
    <t>%,VR0115</t>
  </si>
  <si>
    <t>J S JOHNSON SCHP</t>
  </si>
  <si>
    <t>%,VR0136</t>
  </si>
  <si>
    <t>MATH &amp; STAT ALUM SCH</t>
  </si>
  <si>
    <t>%,VR0137</t>
  </si>
  <si>
    <t>%,VR0142</t>
  </si>
  <si>
    <t>MCPHERSON FELLOWSHIP</t>
  </si>
  <si>
    <t>%,VR0161</t>
  </si>
  <si>
    <t>NOLTE END FELLOWSHIP</t>
  </si>
  <si>
    <t>%,VR0187</t>
  </si>
  <si>
    <t>NORBERT SCHMIDT FELL</t>
  </si>
  <si>
    <t>%,VR0190</t>
  </si>
  <si>
    <t>SKITEK/HKN SCHP</t>
  </si>
  <si>
    <t>%,VR0207</t>
  </si>
  <si>
    <t>D THOMPSON FELLOW</t>
  </si>
  <si>
    <t>%,VR0209</t>
  </si>
  <si>
    <t>UMR CHEM ENGR GRAD</t>
  </si>
  <si>
    <t>%,VR0218</t>
  </si>
  <si>
    <t>WEI-WEN YU FELLOW</t>
  </si>
  <si>
    <t>%,VR0238</t>
  </si>
  <si>
    <t>ACADEMY OF MECH/AERO ENGR</t>
  </si>
  <si>
    <t>%,VR0241</t>
  </si>
  <si>
    <t>ALUMNI YOUNG FAC AWD</t>
  </si>
  <si>
    <t>%,VR0245</t>
  </si>
  <si>
    <t>CIV ENG FAC STF</t>
  </si>
  <si>
    <t>%,VR0247</t>
  </si>
  <si>
    <t>CIV ENG STU ACT END</t>
  </si>
  <si>
    <t>%,VR0253</t>
  </si>
  <si>
    <t>DEV OFF QUASI ENDOW</t>
  </si>
  <si>
    <t>%,VR0254</t>
  </si>
  <si>
    <t>SCHL ENGR END</t>
  </si>
  <si>
    <t>%,VR0255</t>
  </si>
  <si>
    <t>MECH ENGINEERING END</t>
  </si>
  <si>
    <t>%,VR0268</t>
  </si>
  <si>
    <t>HASSELMANN QUASI END</t>
  </si>
  <si>
    <t>%,VR0276</t>
  </si>
  <si>
    <t>R &amp; B HOOVER ENDOW</t>
  </si>
  <si>
    <t>%,VR0277</t>
  </si>
  <si>
    <t>KAPPA SIGMA ED FUND</t>
  </si>
  <si>
    <t>%,VR0278</t>
  </si>
  <si>
    <t>KOPLAR EXCEL TEACH</t>
  </si>
  <si>
    <t>%,VR0287</t>
  </si>
  <si>
    <t>MATH &amp; STAT CONTING</t>
  </si>
  <si>
    <t>%,VR0290</t>
  </si>
  <si>
    <t>NEWNAM ENDOWMENT</t>
  </si>
  <si>
    <t>%,VR0292</t>
  </si>
  <si>
    <t>L &amp; B SARCHET ENDOW</t>
  </si>
  <si>
    <t>%,VR0295</t>
  </si>
  <si>
    <t>MINES &amp; METAL EQUIP</t>
  </si>
  <si>
    <t>%,VR0303</t>
  </si>
  <si>
    <t>UMR ACADEMY CE EQUIP</t>
  </si>
  <si>
    <t>%,VR0305</t>
  </si>
  <si>
    <t>UMR CHEM ENGR FAC</t>
  </si>
  <si>
    <t>%,VR0306</t>
  </si>
  <si>
    <t>UMR CHEM ENGR EQUIP</t>
  </si>
  <si>
    <t>%,VR0307</t>
  </si>
  <si>
    <t>UMR CIVIL ENG EQUIP</t>
  </si>
  <si>
    <t>%,VR0308</t>
  </si>
  <si>
    <t>UMR ECE EQUIP FUND</t>
  </si>
  <si>
    <t>%,VR0309</t>
  </si>
  <si>
    <t>UMR ENDOW PER ARTS</t>
  </si>
  <si>
    <t>%,VR0310</t>
  </si>
  <si>
    <t>UMR MEM SCHP FD</t>
  </si>
  <si>
    <t>%,VR0312</t>
  </si>
  <si>
    <t>SINEATH PACKAGING EN</t>
  </si>
  <si>
    <t>%,VR0458</t>
  </si>
  <si>
    <t>GRAINGER AWARDS</t>
  </si>
  <si>
    <t>%,VR0572</t>
  </si>
  <si>
    <t>MOORE MEMORIAL SCHOLARSHIP</t>
  </si>
  <si>
    <t>%,VR4359</t>
  </si>
  <si>
    <t>ISDC DEVELOPMENT</t>
  </si>
  <si>
    <t>%,VR4640</t>
  </si>
  <si>
    <t>CHANCELLOR'S CAMPAIGN CHALLENG</t>
  </si>
  <si>
    <t>%,FPROGRAM_CODE,TGASB_34_35_PROGRAM,X,NENDOWMENT,NLOAN,NRESTGIFTS,FFUND_CODE,TGASB_34_35_FUND,NQUASI_ENDOW_EXPEND,NQUASI_ENDOW_NONEXP</t>
  </si>
  <si>
    <t>INCOME UNRESTRICTED -</t>
  </si>
  <si>
    <t>%,VR0592</t>
  </si>
  <si>
    <t>Biological Sciences Research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</si>
  <si>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</si>
  <si>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</si>
  <si>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</si>
  <si>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</si>
  <si>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</si>
  <si>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%,VR0363</t>
  </si>
  <si>
    <t>ANDERSON CHAR REM TR</t>
  </si>
  <si>
    <t>%,VR0364</t>
  </si>
  <si>
    <t>K W ANDREWS C R T</t>
  </si>
  <si>
    <t>%,VR0366</t>
  </si>
  <si>
    <t>DESJARDINS ANN TRUST</t>
  </si>
  <si>
    <t>%,VR0367</t>
  </si>
  <si>
    <t>THOMAS STEWART UNITR</t>
  </si>
  <si>
    <t>%,VR0368</t>
  </si>
  <si>
    <t>T JAMES STEWART, JR</t>
  </si>
  <si>
    <t>%,VR0478</t>
  </si>
  <si>
    <t>Horst Charitable Remainder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</si>
  <si>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</si>
  <si>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</si>
  <si>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</si>
  <si>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%,VR0371</t>
  </si>
  <si>
    <t>CRUM POOLED INCOME</t>
  </si>
  <si>
    <t>%,VR0375</t>
  </si>
  <si>
    <t>G HARR LIFE INCOME</t>
  </si>
  <si>
    <t>%,VR0377</t>
  </si>
  <si>
    <t>KAMPER POOLED INCOME</t>
  </si>
  <si>
    <t>%,VR0378</t>
  </si>
  <si>
    <t>KOEPPEL POOLED INC</t>
  </si>
  <si>
    <t>%,VR0379</t>
  </si>
  <si>
    <t>MARKLEY POOLED INC</t>
  </si>
  <si>
    <t>%,VR0380</t>
  </si>
  <si>
    <t>PFEIFER POOLED INC</t>
  </si>
  <si>
    <t>%,VR0382</t>
  </si>
  <si>
    <t>NEUSTAEDTER P I F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</si>
  <si>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</si>
  <si>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</si>
  <si>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</si>
  <si>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</si>
  <si>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</si>
  <si>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</si>
  <si>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</si>
  <si>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</si>
  <si>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</si>
  <si>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</si>
  <si>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</si>
  <si>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</si>
  <si>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</si>
  <si>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</si>
  <si>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PGASB15R</t>
  </si>
  <si>
    <t>Program</t>
  </si>
  <si>
    <t>State
Appropriations
and State</t>
  </si>
  <si>
    <t>Investment &amp;</t>
  </si>
  <si>
    <t>Bond</t>
  </si>
  <si>
    <t>Transfers In</t>
  </si>
  <si>
    <t>Code</t>
  </si>
  <si>
    <t>Bond Funds</t>
  </si>
  <si>
    <t>Grants</t>
  </si>
  <si>
    <t>Proceeds</t>
  </si>
  <si>
    <t>(Out)</t>
  </si>
  <si>
    <t>%,VR8302</t>
  </si>
  <si>
    <t>NEW RESIDENCE HALL BUILDING #1</t>
  </si>
  <si>
    <t>R8302</t>
  </si>
  <si>
    <t>%,VR8303</t>
  </si>
  <si>
    <t>NEW RESIDENCE HALL #2</t>
  </si>
  <si>
    <t>R8303</t>
  </si>
  <si>
    <t>%,VR8501</t>
  </si>
  <si>
    <t>HAVENER CENTER</t>
  </si>
  <si>
    <t>R8501</t>
  </si>
  <si>
    <t>%,VR8502</t>
  </si>
  <si>
    <t>REPL TRACK</t>
  </si>
  <si>
    <t>R8502</t>
  </si>
  <si>
    <t>%,VR8503</t>
  </si>
  <si>
    <t>PHYSICAL RECREATION FACILITY</t>
  </si>
  <si>
    <t>R8503</t>
  </si>
  <si>
    <t>%,VR8504</t>
  </si>
  <si>
    <t>SCHRENK CHEMISTRY BUILDING</t>
  </si>
  <si>
    <t>R8504</t>
  </si>
  <si>
    <t>%,VR8506</t>
  </si>
  <si>
    <t>BULLMAN CHAIRBACK SEAT FUND</t>
  </si>
  <si>
    <t>%,V751400</t>
  </si>
  <si>
    <t>Profess Serv-A-21 exclusion</t>
  </si>
  <si>
    <t>751400</t>
  </si>
  <si>
    <t>%,V753002</t>
  </si>
  <si>
    <t>Hospital professional services</t>
  </si>
  <si>
    <t>753002</t>
  </si>
  <si>
    <t>%,V755000</t>
  </si>
  <si>
    <t>Use fees</t>
  </si>
  <si>
    <t>755000</t>
  </si>
  <si>
    <t>%,V765001</t>
  </si>
  <si>
    <t>Subcontracts &lt;$25,000</t>
  </si>
  <si>
    <t>765001</t>
  </si>
  <si>
    <t>%,V766001</t>
  </si>
  <si>
    <t>Subcontracts &gt;$25,000</t>
  </si>
  <si>
    <t>766001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</si>
  <si>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</si>
  <si>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</si>
  <si>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</si>
  <si>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</si>
  <si>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</si>
  <si>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</si>
  <si>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</si>
  <si>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</si>
  <si>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</si>
  <si>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%,V789100</t>
  </si>
  <si>
    <t>M &amp; R Pat Care Equip - Non Cap</t>
  </si>
  <si>
    <t>789100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</si>
  <si>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</si>
  <si>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</si>
  <si>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</si>
  <si>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</si>
  <si>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</si>
  <si>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</si>
  <si>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</si>
  <si>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</si>
  <si>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</si>
  <si>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</si>
  <si>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</si>
  <si>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</si>
  <si>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</si>
  <si>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</si>
  <si>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</si>
  <si>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</si>
  <si>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</si>
  <si>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</si>
  <si>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</si>
  <si>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</si>
  <si>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</si>
  <si>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</si>
  <si>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</si>
  <si>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</si>
  <si>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</si>
  <si>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</si>
  <si>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</si>
  <si>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</si>
  <si>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</si>
  <si>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</si>
  <si>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%,V797500</t>
  </si>
  <si>
    <t>Utility dist-non capital</t>
  </si>
  <si>
    <t>797500</t>
  </si>
  <si>
    <t>%,V800001</t>
  </si>
  <si>
    <t>Utilities-university generated</t>
  </si>
  <si>
    <t>800001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</si>
  <si>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</si>
  <si>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</si>
  <si>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</si>
  <si>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</si>
  <si>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</si>
  <si>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</si>
  <si>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</si>
  <si>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</si>
  <si>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</si>
  <si>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</si>
  <si>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</si>
  <si>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</si>
  <si>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</si>
  <si>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</si>
  <si>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</si>
  <si>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</si>
  <si>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</si>
  <si>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</si>
  <si>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%,V810600</t>
  </si>
  <si>
    <t>Vendor fuel oil</t>
  </si>
  <si>
    <t>810600</t>
  </si>
  <si>
    <t>%,V810800</t>
  </si>
  <si>
    <t>Vendor - Cable TV Services</t>
  </si>
  <si>
    <t>810800</t>
  </si>
  <si>
    <t>%,V822100</t>
  </si>
  <si>
    <t>Gain/Loss on Disposal-Surplus</t>
  </si>
  <si>
    <t>822100</t>
  </si>
  <si>
    <t>%,V822200</t>
  </si>
  <si>
    <t>Loss/Gain on assets - AM</t>
  </si>
  <si>
    <t>822200</t>
  </si>
  <si>
    <t>%,V863100</t>
  </si>
  <si>
    <t>Full costing</t>
  </si>
  <si>
    <t>863100</t>
  </si>
  <si>
    <t>%,V893700</t>
  </si>
  <si>
    <t>Collection expense</t>
  </si>
  <si>
    <t>893700</t>
  </si>
  <si>
    <t>%,V895000</t>
  </si>
  <si>
    <t>Custodian fees/bank fees</t>
  </si>
  <si>
    <t>895000</t>
  </si>
  <si>
    <t>%,V914000</t>
  </si>
  <si>
    <t>Investment in plant-rec debt</t>
  </si>
  <si>
    <t>914000</t>
  </si>
  <si>
    <t>%,FACCOUNT,TGASB_34_35,X,NAUX &amp; EDUC ACTIV,NINVESTMENT IN PLANT,NOTHER DEPT OPERATING,NPROFESSIONAL &amp; CONSU,NSUPPLY_NONCAP ASSET,NUTILITIES,NSELF INSURANCE BENE</t>
  </si>
  <si>
    <t>%,V764000</t>
  </si>
  <si>
    <t>GASB35 Scholar&amp;Fellow Primary</t>
  </si>
  <si>
    <t>764000</t>
  </si>
  <si>
    <t>%,FACCOUNT,TGASB_34_35,X,NSCHOLAR &amp; FELLOW</t>
  </si>
  <si>
    <t>%,V501000</t>
  </si>
  <si>
    <t>Equipment assets offset</t>
  </si>
  <si>
    <t>501000</t>
  </si>
  <si>
    <t>%,V501500</t>
  </si>
  <si>
    <t>Equipment in Process Offset</t>
  </si>
  <si>
    <t>501500</t>
  </si>
  <si>
    <t>%,V502000</t>
  </si>
  <si>
    <t>Building, Infra, CIP offset</t>
  </si>
  <si>
    <t>502000</t>
  </si>
  <si>
    <t>%,V504000</t>
  </si>
  <si>
    <t>Library Books offset</t>
  </si>
  <si>
    <t>504000</t>
  </si>
  <si>
    <t>%,V505500</t>
  </si>
  <si>
    <t>Artwork offset</t>
  </si>
  <si>
    <t>505500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</si>
  <si>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</si>
  <si>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</si>
  <si>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</si>
  <si>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</si>
  <si>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</si>
  <si>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</si>
  <si>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</si>
  <si>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</si>
  <si>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</si>
  <si>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</si>
  <si>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</si>
  <si>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</si>
  <si>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%,V777600</t>
  </si>
  <si>
    <t>Laboratory - Capital</t>
  </si>
  <si>
    <t>777600</t>
  </si>
  <si>
    <t>%,V777700</t>
  </si>
  <si>
    <t>Furniture - Capital</t>
  </si>
  <si>
    <t>777700</t>
  </si>
  <si>
    <t>%,V777800</t>
  </si>
  <si>
    <t>Vehicles - Capital</t>
  </si>
  <si>
    <t>777800</t>
  </si>
  <si>
    <t>%,V777900</t>
  </si>
  <si>
    <t>Field &amp; facilities equip - Cap</t>
  </si>
  <si>
    <t>777900</t>
  </si>
  <si>
    <t>%,V778000</t>
  </si>
  <si>
    <t>Equipment M &amp; R Capital</t>
  </si>
  <si>
    <t>778000</t>
  </si>
  <si>
    <t>%,V778100</t>
  </si>
  <si>
    <t>Fabricated Equipment - Capital</t>
  </si>
  <si>
    <t>778100</t>
  </si>
  <si>
    <t>%,V788100</t>
  </si>
  <si>
    <t>Library Acquisition-Capital</t>
  </si>
  <si>
    <t>788100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</si>
  <si>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</si>
  <si>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</si>
  <si>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</si>
  <si>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</si>
  <si>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</si>
  <si>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</si>
  <si>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</si>
  <si>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</si>
  <si>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</si>
  <si>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</si>
  <si>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</si>
  <si>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</si>
  <si>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%,V799000</t>
  </si>
  <si>
    <t>New construction proj-building</t>
  </si>
  <si>
    <t>799000</t>
  </si>
  <si>
    <t>%,V799500</t>
  </si>
  <si>
    <t>Other capital improvements</t>
  </si>
  <si>
    <t>799500</t>
  </si>
  <si>
    <t>%,V799600</t>
  </si>
  <si>
    <t>Artwork &amp; Museum Objects &gt;5000</t>
  </si>
  <si>
    <t>799600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</si>
  <si>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</si>
  <si>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</si>
  <si>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</si>
  <si>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</si>
  <si>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</si>
  <si>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</si>
  <si>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</si>
  <si>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</si>
  <si>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</si>
  <si>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</si>
  <si>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</si>
  <si>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%,V822600</t>
  </si>
  <si>
    <t>Library Book Depreciation</t>
  </si>
  <si>
    <t>822600</t>
  </si>
  <si>
    <t>%,FACCOUNT,TGASB_34_35,X,NDEPR</t>
  </si>
  <si>
    <t xml:space="preserve">Depreciation </t>
  </si>
  <si>
    <t xml:space="preserve">       Total Operating Expenses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</si>
  <si>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</si>
  <si>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</si>
  <si>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</si>
  <si>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</si>
  <si>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</si>
  <si>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</si>
  <si>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</si>
  <si>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</si>
  <si>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</si>
  <si>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</si>
  <si>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</si>
  <si>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</si>
  <si>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</si>
  <si>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%,V470500</t>
  </si>
  <si>
    <t>Endowment income -sep invested</t>
  </si>
  <si>
    <t>470500</t>
  </si>
  <si>
    <t>%,V470600</t>
  </si>
  <si>
    <t>Invest Income-Spec Instruction</t>
  </si>
  <si>
    <t>470600</t>
  </si>
  <si>
    <t>%,V470700</t>
  </si>
  <si>
    <t>Endow Income-Pooled Income Fnd</t>
  </si>
  <si>
    <t>470700</t>
  </si>
  <si>
    <t>%,V470950</t>
  </si>
  <si>
    <t>Endowment Income - Fd Trusts</t>
  </si>
  <si>
    <t>470950</t>
  </si>
  <si>
    <t>%,V475000</t>
  </si>
  <si>
    <t>Investment income</t>
  </si>
  <si>
    <t>475000</t>
  </si>
  <si>
    <t>%,V475400</t>
  </si>
  <si>
    <t>Investment inc-mineral rights</t>
  </si>
  <si>
    <t>475400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</si>
  <si>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</si>
  <si>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</si>
  <si>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</si>
  <si>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</si>
  <si>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</si>
  <si>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</si>
  <si>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</si>
  <si>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</si>
  <si>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</si>
  <si>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</si>
  <si>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</si>
  <si>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</si>
  <si>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</si>
  <si>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</si>
  <si>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</si>
  <si>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</si>
  <si>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</si>
  <si>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</si>
  <si>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</si>
  <si>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</si>
  <si>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</si>
  <si>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</si>
  <si>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</si>
  <si>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</si>
  <si>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</si>
  <si>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</si>
  <si>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</si>
  <si>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%,R,FACCOUNT,TGASB_34_35,X,NRETIREMENT BENEFITS</t>
  </si>
  <si>
    <t>Retirement Benefits, Net of University Contribution</t>
  </si>
  <si>
    <t>%,V930000</t>
  </si>
  <si>
    <t>Payments to beneficiaries</t>
  </si>
  <si>
    <t>930000</t>
  </si>
  <si>
    <t>%,R,FACCOUNT,TGASB_34_35,X,NPAYMENTS TO BENE</t>
  </si>
  <si>
    <t>Payments to Beneficiaries</t>
  </si>
  <si>
    <t>Capital Gifts</t>
  </si>
  <si>
    <t>Capital Grants</t>
  </si>
  <si>
    <t xml:space="preserve">    Net Other Nonoperating Revenues (Expenses) before Transfers </t>
  </si>
  <si>
    <t>%,V390000</t>
  </si>
  <si>
    <t>Mandatory Transfers In</t>
  </si>
  <si>
    <t>390000</t>
  </si>
  <si>
    <t>%,V390100</t>
  </si>
  <si>
    <t>Mandatory Trfs In-DRT</t>
  </si>
  <si>
    <t>390100</t>
  </si>
  <si>
    <t>%,V390300</t>
  </si>
  <si>
    <t>Mandatory Trf In -Other</t>
  </si>
  <si>
    <t>390300</t>
  </si>
  <si>
    <t>%,V860001</t>
  </si>
  <si>
    <t>Mandatory Trfs Out</t>
  </si>
  <si>
    <t>860001</t>
  </si>
  <si>
    <t>%,V861100</t>
  </si>
  <si>
    <t>Mand Trf Out - Debt Retirement</t>
  </si>
  <si>
    <t>861100</t>
  </si>
  <si>
    <t>%,V861300</t>
  </si>
  <si>
    <t>Mand Trf Out - Other</t>
  </si>
  <si>
    <t>861300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</si>
  <si>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</si>
  <si>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</si>
  <si>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</si>
  <si>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</si>
  <si>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</si>
  <si>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</si>
  <si>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</si>
  <si>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</si>
  <si>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</si>
  <si>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</si>
  <si>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</si>
  <si>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R5002001</t>
  </si>
  <si>
    <t>%,VR5002228</t>
  </si>
  <si>
    <t>2005 LTAP Annual Meeting</t>
  </si>
  <si>
    <t>R5002228</t>
  </si>
  <si>
    <t>%,VR5002229</t>
  </si>
  <si>
    <t>MINK Confernece MLTRC</t>
  </si>
  <si>
    <t>R5002229</t>
  </si>
  <si>
    <t>%,VR5002246</t>
  </si>
  <si>
    <t>NATIONAL CHI EPSILON FUNDS</t>
  </si>
  <si>
    <t>R5002246</t>
  </si>
  <si>
    <t>%,VR5003109</t>
  </si>
  <si>
    <t>ETA KAPPA NU (HKN) INTERNATION</t>
  </si>
  <si>
    <t>R5003109</t>
  </si>
  <si>
    <t>%,VR5005189</t>
  </si>
  <si>
    <t>LAB FEE DEPOSITS - ME &amp; AE &amp; E</t>
  </si>
  <si>
    <t>R5005189</t>
  </si>
  <si>
    <t>%,VR5005274</t>
  </si>
  <si>
    <t>ASME SPRING CONFERENCE 2006</t>
  </si>
  <si>
    <t>R5005274</t>
  </si>
  <si>
    <t>%,VR6017004</t>
  </si>
  <si>
    <t>UMR ARMY ROTC STONEHENGE BN AC</t>
  </si>
  <si>
    <t>R6017004</t>
  </si>
  <si>
    <t>%,VR7003008</t>
  </si>
  <si>
    <t>2005 MABHE Conference</t>
  </si>
  <si>
    <t>R7003008</t>
  </si>
  <si>
    <t>%,VR7007019</t>
  </si>
  <si>
    <t>APPLIED LANGUAGE INSTITUTE AGE</t>
  </si>
  <si>
    <t>R7007019</t>
  </si>
  <si>
    <t>%,VR7007021</t>
  </si>
  <si>
    <t>MISCELLANEOUS STUDENT FEES</t>
  </si>
  <si>
    <t>R7007021</t>
  </si>
  <si>
    <t>%,VR7009005</t>
  </si>
  <si>
    <t>PINK LADY FUN RUN WALK</t>
  </si>
  <si>
    <t>R7009005</t>
  </si>
  <si>
    <t>%,VR7010035</t>
  </si>
  <si>
    <t>HOUSING DEPOSITS</t>
  </si>
  <si>
    <t>R7010035</t>
  </si>
  <si>
    <t>%,VR7010036</t>
  </si>
  <si>
    <t>APARTMENT DEPOSITS</t>
  </si>
  <si>
    <t>R7010036</t>
  </si>
  <si>
    <t>%,VR7010037</t>
  </si>
  <si>
    <t>PROG ALLOTMENT</t>
  </si>
  <si>
    <t>R7010037</t>
  </si>
  <si>
    <t>%,VR7010038</t>
  </si>
  <si>
    <t>RESIDENTIAL COLLEGE ASSOCIATIO</t>
  </si>
  <si>
    <t>R7010038</t>
  </si>
  <si>
    <t>%,VR7010039</t>
  </si>
  <si>
    <t>QUAD RES HALL STUDENT PROGRAM</t>
  </si>
  <si>
    <t>R7010039</t>
  </si>
  <si>
    <t>%,VR7010040</t>
  </si>
  <si>
    <t>TJ HALL STUDENT PROGRAMMING</t>
  </si>
  <si>
    <t>R7010040</t>
  </si>
  <si>
    <t>%,VR7010041</t>
  </si>
  <si>
    <t>RES HALL ASSN - PROGRAMMING</t>
  </si>
  <si>
    <t>R7010041</t>
  </si>
  <si>
    <t>%,VR7010042</t>
  </si>
  <si>
    <t>TICKETS ON CONSIGNMENT</t>
  </si>
  <si>
    <t>R7010042</t>
  </si>
  <si>
    <t>%,VR7010043</t>
  </si>
  <si>
    <t>NATIONAL RES HALL HONORARY</t>
  </si>
  <si>
    <t>R7010043</t>
  </si>
  <si>
    <t>%,VR7010046</t>
  </si>
  <si>
    <t>RESLIFE APPLICATION FEES</t>
  </si>
  <si>
    <t>R7010046</t>
  </si>
  <si>
    <t>%,VR7012005</t>
  </si>
  <si>
    <t>FACULTY-STAFF GOLF LEAGUE</t>
  </si>
  <si>
    <t>R7012005</t>
  </si>
  <si>
    <t>%,VR7012087</t>
  </si>
  <si>
    <t>INTRAMURAL MANAGERS ACCT</t>
  </si>
  <si>
    <t>R7012087</t>
  </si>
  <si>
    <t>%,VR8005007</t>
  </si>
  <si>
    <t>ALUMNI ASSOCIATION TRANSFERS</t>
  </si>
  <si>
    <t>R8005007</t>
  </si>
  <si>
    <t>%,VR9001114</t>
  </si>
  <si>
    <t>YEAR END SUMMER - PCS 81 SCHOL</t>
  </si>
  <si>
    <t>R9001114</t>
  </si>
  <si>
    <t>%,VR9001115</t>
  </si>
  <si>
    <t>YEAR END SUMMER - PCS LOAN</t>
  </si>
  <si>
    <t>R9001115</t>
  </si>
  <si>
    <t>%,VR9001116</t>
  </si>
  <si>
    <t>YEAR-END SUMMER - PCS AGENCY</t>
  </si>
  <si>
    <t>R9001116</t>
  </si>
  <si>
    <t>%,VR9001205</t>
  </si>
  <si>
    <t>THOMAS JAMES STEWART FUND</t>
  </si>
  <si>
    <t>R9001205</t>
  </si>
  <si>
    <t>%,VR9001206</t>
  </si>
  <si>
    <t>GEORGE ANDERSON UNITRUST</t>
  </si>
  <si>
    <t>R9001206</t>
  </si>
  <si>
    <t>%,VR9001207</t>
  </si>
  <si>
    <t>T JAMES STEWART JR AGENCY</t>
  </si>
  <si>
    <t>R9001207</t>
  </si>
  <si>
    <t>%,VR9001210</t>
  </si>
  <si>
    <t>WAGE EARNINGS ATTACHMENTS</t>
  </si>
  <si>
    <t>R9001210</t>
  </si>
  <si>
    <t>%,VR9004131</t>
  </si>
  <si>
    <t>KEY DEPOSITS</t>
  </si>
  <si>
    <t>R9004131</t>
  </si>
  <si>
    <t>%,VR9004134</t>
  </si>
  <si>
    <t>CENTURY CLUB - MSM ALUMNI</t>
  </si>
  <si>
    <t>R9004134</t>
  </si>
  <si>
    <t>%,VR9004135</t>
  </si>
  <si>
    <t>STUDENT CHARGE SYSTEM - BOOKST</t>
  </si>
  <si>
    <t>R9004135</t>
  </si>
  <si>
    <t>%,VR9004136</t>
  </si>
  <si>
    <t>STUDENT CHARGE SYSTEM - FOOD S</t>
  </si>
  <si>
    <t>R9004136</t>
  </si>
  <si>
    <t>%,VR9004139</t>
  </si>
  <si>
    <t>CUR FUND TRS PCS 63</t>
  </si>
  <si>
    <t>R9004139</t>
  </si>
  <si>
    <t>%,VR9006101</t>
  </si>
  <si>
    <t>BYRD INDIANA STATE SCHOLARSHIP</t>
  </si>
  <si>
    <t>R9006101</t>
  </si>
  <si>
    <t>%,FFUND_CODE,TGASB_34_35_FUND,NAGENCY_FUNDS_NONEXP,FDEPTID,X,_</t>
  </si>
  <si>
    <t>TOTAL AGENCY FUNDS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</si>
  <si>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</si>
  <si>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</si>
  <si>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</si>
  <si>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</si>
  <si>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</si>
  <si>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</si>
  <si>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Building Services</t>
  </si>
  <si>
    <t>Campus Plng, Design, Constr</t>
  </si>
  <si>
    <t>Central Mail</t>
  </si>
  <si>
    <t>Computing Services</t>
  </si>
  <si>
    <t>Maint, Grds, Build Serv</t>
  </si>
  <si>
    <t>Printing</t>
  </si>
  <si>
    <t>Science Instru Shop</t>
  </si>
  <si>
    <t>Telecommunications</t>
  </si>
  <si>
    <t>Service Operations - Funds 0700 through 0899</t>
  </si>
  <si>
    <t>Self Insurance Funds - Funds 0900 through 0999</t>
  </si>
  <si>
    <t>Total Unrestricted Current Funds</t>
  </si>
  <si>
    <t>%,V400100</t>
  </si>
  <si>
    <t>Undergrad summer fees-resident</t>
  </si>
  <si>
    <t>400100</t>
  </si>
  <si>
    <t>%,V400200</t>
  </si>
  <si>
    <t>Undergrad summer fees-non res</t>
  </si>
  <si>
    <t>400200</t>
  </si>
  <si>
    <t>%,V400300</t>
  </si>
  <si>
    <t>Undergrad fall fees - resident</t>
  </si>
  <si>
    <t>400300</t>
  </si>
  <si>
    <t>%,V400400</t>
  </si>
  <si>
    <t>Undergrad fall fees - non res</t>
  </si>
  <si>
    <t>400400</t>
  </si>
  <si>
    <t>%,V400500</t>
  </si>
  <si>
    <t>Undergrad winter fees - res</t>
  </si>
  <si>
    <t>400500</t>
  </si>
  <si>
    <t>%,V400600</t>
  </si>
  <si>
    <t>Undergrad winter fees -non res</t>
  </si>
  <si>
    <t>400600</t>
  </si>
  <si>
    <t>%,V402000</t>
  </si>
  <si>
    <t>Grad educ summer fees- res</t>
  </si>
  <si>
    <t>402000</t>
  </si>
  <si>
    <t>%,V402100</t>
  </si>
  <si>
    <t>Grad educ summer fees- non-res</t>
  </si>
  <si>
    <t>402100</t>
  </si>
  <si>
    <t>%,V402200</t>
  </si>
  <si>
    <t>Grad educ fall fees-resident</t>
  </si>
  <si>
    <t>402200</t>
  </si>
  <si>
    <t>%,V402300</t>
  </si>
  <si>
    <t>Grad educ fall fees-non-res</t>
  </si>
  <si>
    <t>402300</t>
  </si>
  <si>
    <t>%,V402400</t>
  </si>
  <si>
    <t>Grad educ winter fees-resident</t>
  </si>
  <si>
    <t>402400</t>
  </si>
  <si>
    <t>%,V402500</t>
  </si>
  <si>
    <t>Grad educ winter fees-non-res</t>
  </si>
  <si>
    <t>402500</t>
  </si>
  <si>
    <t>%,V403000</t>
  </si>
  <si>
    <t>Ext noncredit oncampus</t>
  </si>
  <si>
    <t>403000</t>
  </si>
  <si>
    <t>%,V403050</t>
  </si>
  <si>
    <t>Ext noncredit oncampus-res</t>
  </si>
  <si>
    <t>403050</t>
  </si>
  <si>
    <t>%,V403200</t>
  </si>
  <si>
    <t>Ext noncredit offcampus</t>
  </si>
  <si>
    <t>403200</t>
  </si>
  <si>
    <t>%,V403400</t>
  </si>
  <si>
    <t>Ext credit oncampus</t>
  </si>
  <si>
    <t>403400</t>
  </si>
  <si>
    <t>%,V403700</t>
  </si>
  <si>
    <t>Ext Credit Off Campus</t>
  </si>
  <si>
    <t>403700</t>
  </si>
  <si>
    <t>%,V404000</t>
  </si>
  <si>
    <t>Supplemental fees-summer ungrd</t>
  </si>
  <si>
    <t>404000</t>
  </si>
  <si>
    <t>%,V404010</t>
  </si>
  <si>
    <t>Supp Fees - Summer Grad Prof</t>
  </si>
  <si>
    <t>404010</t>
  </si>
  <si>
    <t>%,V404100</t>
  </si>
  <si>
    <t>Supplemental fees-fall ungrd</t>
  </si>
  <si>
    <t>404100</t>
  </si>
  <si>
    <t>%,V404110</t>
  </si>
  <si>
    <t>Supp Fee - Fall Grad Proff</t>
  </si>
  <si>
    <t>404110</t>
  </si>
  <si>
    <t>%,V404200</t>
  </si>
  <si>
    <t>Supplemental fees-winter ungrd</t>
  </si>
  <si>
    <t>404200</t>
  </si>
  <si>
    <t>%,V404210</t>
  </si>
  <si>
    <t>Supp Fee - Winter Grad Prof</t>
  </si>
  <si>
    <t>404210</t>
  </si>
  <si>
    <t>%,V404500</t>
  </si>
  <si>
    <t>Instructional computing-summer</t>
  </si>
  <si>
    <t>404500</t>
  </si>
  <si>
    <t>%,V404510</t>
  </si>
  <si>
    <t>Instructional Computing - fall</t>
  </si>
  <si>
    <t>404510</t>
  </si>
  <si>
    <t>%,V404520</t>
  </si>
  <si>
    <t>Instructional comput - winter</t>
  </si>
  <si>
    <t>404520</t>
  </si>
  <si>
    <t>%,V405000</t>
  </si>
  <si>
    <t>Other misc educational fees</t>
  </si>
  <si>
    <t>405000</t>
  </si>
  <si>
    <t>%,V405100</t>
  </si>
  <si>
    <t>Late Payment Fee</t>
  </si>
  <si>
    <t>405100</t>
  </si>
  <si>
    <t>%,V406000</t>
  </si>
  <si>
    <t>Activ &amp; facility fees-summer</t>
  </si>
  <si>
    <t>406000</t>
  </si>
  <si>
    <t>%,V406001</t>
  </si>
  <si>
    <t>Activity &amp; Facility Fees</t>
  </si>
  <si>
    <t>406001</t>
  </si>
  <si>
    <t>%,V406100</t>
  </si>
  <si>
    <t>Activity &amp; facility fees-fall</t>
  </si>
  <si>
    <t>406100</t>
  </si>
  <si>
    <t>%,V406120</t>
  </si>
  <si>
    <t>Act &amp; Fac Fees Fall grad&amp;prof</t>
  </si>
  <si>
    <t>406120</t>
  </si>
  <si>
    <t>%,V406200</t>
  </si>
  <si>
    <t>Activ &amp; facility fees-winter</t>
  </si>
  <si>
    <t>406200</t>
  </si>
  <si>
    <t>%,V406220</t>
  </si>
  <si>
    <t>Act&amp;Fac Fees winter grad&amp;prof</t>
  </si>
  <si>
    <t>406220</t>
  </si>
  <si>
    <t>%,V760001</t>
  </si>
  <si>
    <t>Student aid</t>
  </si>
  <si>
    <t>760001</t>
  </si>
  <si>
    <t>%,V760800</t>
  </si>
  <si>
    <t>Undergrad fee waivers non res</t>
  </si>
  <si>
    <t>760800</t>
  </si>
  <si>
    <t>%,V760900</t>
  </si>
  <si>
    <t>Graduate fee waivers resident</t>
  </si>
  <si>
    <t>760900</t>
  </si>
  <si>
    <t>%,V763000</t>
  </si>
  <si>
    <t>GASB35 Scholar&amp;Fellow Offset</t>
  </si>
  <si>
    <t>763000</t>
  </si>
  <si>
    <t>%,R,FACCOUNT,TGASB_34_35,X,NFEDERAL GRANTS</t>
  </si>
  <si>
    <t>%,R,FACCOUNT,TGASB_34_35,X,NOTHER GOVT GRANTS,NSTATE GRANTS</t>
  </si>
  <si>
    <t>%,R,FACCOUNT,TGASB_34_35,X,NPRIVATE GRANTS</t>
  </si>
  <si>
    <t>%,V420200</t>
  </si>
  <si>
    <t>Taxable Primary-athletic sales</t>
  </si>
  <si>
    <t>420200</t>
  </si>
  <si>
    <t>%,V420700</t>
  </si>
  <si>
    <t>Taxable Primary-food sales</t>
  </si>
  <si>
    <t>420700</t>
  </si>
  <si>
    <t>%,V421300</t>
  </si>
  <si>
    <t>Taxable Primary-ticket sales</t>
  </si>
  <si>
    <t>421300</t>
  </si>
  <si>
    <t>%,V430150</t>
  </si>
  <si>
    <t>NonTaxable-Display Advertising</t>
  </si>
  <si>
    <t>430150</t>
  </si>
  <si>
    <t>%,V430160</t>
  </si>
  <si>
    <t>NonTaxable-ClassifiedAdvertisi</t>
  </si>
  <si>
    <t>430160</t>
  </si>
  <si>
    <t>%,V432300</t>
  </si>
  <si>
    <t>Non Taxable-vending revenue</t>
  </si>
  <si>
    <t>432300</t>
  </si>
  <si>
    <t>%,V432520</t>
  </si>
  <si>
    <t>Over / Short - Revenues</t>
  </si>
  <si>
    <t>432520</t>
  </si>
  <si>
    <t xml:space="preserve">   Patient Care Facilities</t>
  </si>
  <si>
    <t xml:space="preserve">   Other Auxilliary Enterprises</t>
  </si>
  <si>
    <t>%,V495100</t>
  </si>
  <si>
    <t>Non tax misc rev-photo copy</t>
  </si>
  <si>
    <t>495100</t>
  </si>
  <si>
    <t>%,V495200</t>
  </si>
  <si>
    <t>Non tax misc rev-commissions</t>
  </si>
  <si>
    <t>495200</t>
  </si>
  <si>
    <t>%,V495500</t>
  </si>
  <si>
    <t>Non tax m r-service &amp; repairs</t>
  </si>
  <si>
    <t>495500</t>
  </si>
  <si>
    <t>%,V495800</t>
  </si>
  <si>
    <t>Non tax m r-RDA</t>
  </si>
  <si>
    <t>495800</t>
  </si>
  <si>
    <t>%,V495900</t>
  </si>
  <si>
    <t>Non tax m r-photo</t>
  </si>
  <si>
    <t>495900</t>
  </si>
  <si>
    <t>%,V496400</t>
  </si>
  <si>
    <t>Non tax m r-warranty repair</t>
  </si>
  <si>
    <t>496400</t>
  </si>
  <si>
    <t>%,V499100</t>
  </si>
  <si>
    <t>Recov of F &amp; A-applicable f&amp;a</t>
  </si>
  <si>
    <t>499100</t>
  </si>
  <si>
    <t>%,R,FACCOUNT,TGASB_34_35,X,NOTHER OPERATING REV</t>
  </si>
  <si>
    <t>%,FACCOUNT,TGASB_34_35,X,NAUX &amp; EDUC ACTIV,NOTHER DEPT OPERATING,NPROFESSIONAL &amp; CONSU,NSUPPLY_NONCAP ASSET,NUTILITIES,NINVESTMENT IN PLANT,NSELF INSURANCE BENE</t>
  </si>
  <si>
    <t xml:space="preserve">Operating Income (Loss) </t>
  </si>
  <si>
    <t>%,R,FACCOUNT,TGASB_34_35,NSTATE APPROPS</t>
  </si>
  <si>
    <t xml:space="preserve">Income (Loss) after State Appropriations, before </t>
  </si>
  <si>
    <t xml:space="preserve">    Nonoperating Revenues (Expenses) and Transfers</t>
  </si>
  <si>
    <t>Nonoperating Revenues (Expenses) and Transfers:</t>
  </si>
  <si>
    <t>%,R,FACCOUNT,TGASB_34_35,NGIFTS</t>
  </si>
  <si>
    <t xml:space="preserve">    Income (Loss) before Capital and Endowment </t>
  </si>
  <si>
    <t xml:space="preserve">        Additions and Transfers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</si>
  <si>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</si>
  <si>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</si>
  <si>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</si>
  <si>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</si>
  <si>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</si>
  <si>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</si>
  <si>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</si>
  <si>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</si>
  <si>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</si>
  <si>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</si>
  <si>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</si>
  <si>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</si>
  <si>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</si>
  <si>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</si>
  <si>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</si>
  <si>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</si>
  <si>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</si>
  <si>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</si>
  <si>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</si>
  <si>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</si>
  <si>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</si>
  <si>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</si>
  <si>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</si>
  <si>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</si>
  <si>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</si>
  <si>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</si>
  <si>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</si>
  <si>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</si>
  <si>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</si>
  <si>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</si>
  <si>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</si>
  <si>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</si>
  <si>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</si>
  <si>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%,V723500</t>
  </si>
  <si>
    <t>Postage A-21 exclusion</t>
  </si>
  <si>
    <t>723500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</si>
  <si>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</si>
  <si>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</si>
  <si>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</si>
  <si>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</si>
  <si>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</si>
  <si>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</si>
  <si>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</si>
  <si>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</si>
  <si>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</si>
  <si>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</si>
  <si>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</si>
  <si>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</si>
  <si>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</si>
  <si>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</si>
  <si>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</si>
  <si>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</si>
  <si>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</si>
  <si>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</si>
  <si>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</si>
  <si>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</si>
  <si>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</si>
  <si>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%,V724900</t>
  </si>
  <si>
    <t>Telephone A-21 Exclusion</t>
  </si>
  <si>
    <t>724900</t>
  </si>
  <si>
    <t>%,V725000</t>
  </si>
  <si>
    <t>Marketing/advertising expense</t>
  </si>
  <si>
    <t>725000</t>
  </si>
  <si>
    <t>%,V725100</t>
  </si>
  <si>
    <t>Advertising</t>
  </si>
  <si>
    <t>725100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</si>
  <si>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</si>
  <si>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</si>
  <si>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</si>
  <si>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</si>
  <si>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</si>
  <si>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</si>
  <si>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</si>
  <si>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</si>
  <si>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</si>
  <si>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</si>
  <si>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</si>
  <si>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</si>
  <si>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%,V726100</t>
  </si>
  <si>
    <t>Insurance A-21 exclusion</t>
  </si>
  <si>
    <t>726100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</si>
  <si>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</si>
  <si>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</si>
  <si>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</si>
  <si>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</si>
  <si>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</si>
  <si>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</si>
  <si>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</si>
  <si>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</si>
  <si>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</si>
  <si>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</si>
  <si>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</si>
  <si>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</si>
  <si>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</si>
  <si>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</si>
  <si>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</si>
  <si>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</si>
  <si>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</si>
  <si>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</si>
  <si>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</si>
  <si>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</si>
  <si>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</si>
  <si>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%,V730130</t>
  </si>
  <si>
    <t>Demurrage</t>
  </si>
  <si>
    <t>730130</t>
  </si>
  <si>
    <t>%,V730170</t>
  </si>
  <si>
    <t>Protective Footwear</t>
  </si>
  <si>
    <t>730170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</si>
  <si>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</si>
  <si>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</si>
  <si>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</si>
  <si>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</si>
  <si>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</si>
  <si>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</si>
  <si>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</si>
  <si>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</si>
  <si>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</si>
  <si>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</si>
  <si>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</si>
  <si>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</si>
  <si>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</si>
  <si>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</si>
  <si>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</si>
  <si>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</si>
  <si>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</si>
  <si>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</si>
  <si>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</si>
  <si>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</si>
  <si>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</si>
  <si>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</si>
  <si>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</si>
  <si>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</si>
  <si>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</si>
  <si>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</si>
  <si>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</si>
  <si>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</si>
  <si>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</si>
  <si>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</si>
  <si>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%,V731100</t>
  </si>
  <si>
    <t>Diesel  - off road</t>
  </si>
  <si>
    <t>731100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</si>
  <si>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</si>
  <si>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</si>
  <si>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</si>
  <si>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</si>
  <si>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</si>
  <si>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</si>
  <si>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</si>
  <si>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</si>
  <si>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</si>
  <si>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</si>
  <si>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</si>
  <si>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</si>
  <si>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</si>
  <si>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</si>
  <si>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</si>
  <si>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%,V731700</t>
  </si>
  <si>
    <t>Research animals expense</t>
  </si>
  <si>
    <t>731700</t>
  </si>
  <si>
    <t>%,V731800</t>
  </si>
  <si>
    <t>Hospital supplies-dietary item</t>
  </si>
  <si>
    <t>731800</t>
  </si>
  <si>
    <t>%,V731900</t>
  </si>
  <si>
    <t>Food stores - misc food</t>
  </si>
  <si>
    <t>731900</t>
  </si>
  <si>
    <t>%,V732000</t>
  </si>
  <si>
    <t>Food stores - paper supplies</t>
  </si>
  <si>
    <t>732000</t>
  </si>
  <si>
    <t>%,V732100</t>
  </si>
  <si>
    <t>Food stores - china/glassware</t>
  </si>
  <si>
    <t>732100</t>
  </si>
  <si>
    <t>%,V732200</t>
  </si>
  <si>
    <t>Food stores - silverware</t>
  </si>
  <si>
    <t>732200</t>
  </si>
  <si>
    <t>%,V732300</t>
  </si>
  <si>
    <t>Food stores - baked goods</t>
  </si>
  <si>
    <t>732300</t>
  </si>
  <si>
    <t>%,V732400</t>
  </si>
  <si>
    <t>Food stores - fruit</t>
  </si>
  <si>
    <t>732400</t>
  </si>
  <si>
    <t>%,V732500</t>
  </si>
  <si>
    <t>Food stores - dairy products</t>
  </si>
  <si>
    <t>732500</t>
  </si>
  <si>
    <t>%,V732600</t>
  </si>
  <si>
    <t>Food stores - groceries</t>
  </si>
  <si>
    <t>732600</t>
  </si>
  <si>
    <t>%,V732700</t>
  </si>
  <si>
    <t>Food stores - vegetables</t>
  </si>
  <si>
    <t>732700</t>
  </si>
  <si>
    <t>%,V732800</t>
  </si>
  <si>
    <t>Food stores - other</t>
  </si>
  <si>
    <t>732800</t>
  </si>
  <si>
    <t>%,V733400</t>
  </si>
  <si>
    <t>Electrography supplies</t>
  </si>
  <si>
    <t>733400</t>
  </si>
  <si>
    <t>%,V733900</t>
  </si>
  <si>
    <t>E &amp; T course cost</t>
  </si>
  <si>
    <t>733900</t>
  </si>
  <si>
    <t>%,V734000</t>
  </si>
  <si>
    <t>Photography dark room supplies</t>
  </si>
  <si>
    <t>734000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</si>
  <si>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</si>
  <si>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</si>
  <si>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</si>
  <si>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</si>
  <si>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</si>
  <si>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</si>
  <si>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</si>
  <si>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</si>
  <si>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</si>
  <si>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</si>
  <si>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</si>
  <si>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</si>
  <si>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</si>
  <si>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</si>
  <si>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</si>
  <si>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</si>
  <si>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</si>
  <si>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</si>
  <si>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</si>
  <si>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</si>
  <si>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</si>
  <si>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</si>
  <si>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</si>
  <si>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</si>
  <si>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</si>
  <si>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</si>
  <si>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</si>
  <si>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</si>
  <si>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</si>
  <si>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</si>
  <si>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</si>
  <si>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</si>
  <si>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</si>
  <si>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</si>
  <si>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</si>
  <si>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</si>
  <si>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</si>
  <si>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</si>
  <si>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</si>
  <si>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</si>
  <si>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</si>
  <si>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</si>
  <si>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</si>
  <si>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</si>
  <si>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</si>
  <si>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</si>
  <si>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</si>
  <si>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</si>
  <si>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</si>
  <si>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</si>
  <si>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</si>
  <si>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</si>
  <si>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</si>
  <si>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</si>
  <si>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</si>
  <si>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</si>
  <si>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</si>
  <si>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</si>
  <si>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</si>
  <si>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</si>
  <si>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%,V740700</t>
  </si>
  <si>
    <t>Vehicles - Non- Capital</t>
  </si>
  <si>
    <t>740700</t>
  </si>
  <si>
    <t>%,V740800</t>
  </si>
  <si>
    <t>Field &amp; Fac Equip Non-Capital</t>
  </si>
  <si>
    <t>740800</t>
  </si>
  <si>
    <t>%,V740850</t>
  </si>
  <si>
    <t>Fabricated Equipment - Non Cap</t>
  </si>
  <si>
    <t>740850</t>
  </si>
  <si>
    <t>%,V740900</t>
  </si>
  <si>
    <t>Misc Facilities Charges &lt; 5000</t>
  </si>
  <si>
    <t>740900</t>
  </si>
  <si>
    <t>%,V741100</t>
  </si>
  <si>
    <t>Seeds</t>
  </si>
  <si>
    <t>741100</t>
  </si>
  <si>
    <t>%,V741300</t>
  </si>
  <si>
    <t>Irrigation supplies</t>
  </si>
  <si>
    <t>741300</t>
  </si>
  <si>
    <t>%,V741400</t>
  </si>
  <si>
    <t>Fertilizer &amp; chemicals</t>
  </si>
  <si>
    <t>741400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</si>
  <si>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</si>
  <si>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</si>
  <si>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</si>
  <si>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</si>
  <si>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</si>
  <si>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</si>
  <si>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</si>
  <si>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</si>
  <si>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</si>
  <si>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%,V742101</t>
  </si>
  <si>
    <t>Vendor Discounts-Earned/Lost</t>
  </si>
  <si>
    <t>742101</t>
  </si>
  <si>
    <t>%,V742200</t>
  </si>
  <si>
    <t>Commissions</t>
  </si>
  <si>
    <t>742200</t>
  </si>
  <si>
    <t>%,V742300</t>
  </si>
  <si>
    <t>Contracts</t>
  </si>
  <si>
    <t>742300</t>
  </si>
  <si>
    <t>%,V742400</t>
  </si>
  <si>
    <t>Payouts</t>
  </si>
  <si>
    <t>742400</t>
  </si>
  <si>
    <t>%,V742500</t>
  </si>
  <si>
    <t>Guarantees/options</t>
  </si>
  <si>
    <t>742500</t>
  </si>
  <si>
    <t>%,V742600</t>
  </si>
  <si>
    <t>Service charge</t>
  </si>
  <si>
    <t>742600</t>
  </si>
  <si>
    <t>%,V742700</t>
  </si>
  <si>
    <t>Overage/shortage - Expenditure</t>
  </si>
  <si>
    <t>742700</t>
  </si>
  <si>
    <t>%,V742860</t>
  </si>
  <si>
    <t>Bad Debt Expense</t>
  </si>
  <si>
    <t>742860</t>
  </si>
  <si>
    <t>%,V743000</t>
  </si>
  <si>
    <t>Semester break expense</t>
  </si>
  <si>
    <t>743000</t>
  </si>
  <si>
    <t>%,V743100</t>
  </si>
  <si>
    <t>Field day</t>
  </si>
  <si>
    <t>743100</t>
  </si>
  <si>
    <t>%,V743200</t>
  </si>
  <si>
    <t>Awards</t>
  </si>
  <si>
    <t>743200</t>
  </si>
  <si>
    <t>%,V743300</t>
  </si>
  <si>
    <t>Other dept exp A-21 exclusion</t>
  </si>
  <si>
    <t>743300</t>
  </si>
  <si>
    <t>%,V743600</t>
  </si>
  <si>
    <t>Bank service charges</t>
  </si>
  <si>
    <t>743600</t>
  </si>
  <si>
    <t>%,V743700</t>
  </si>
  <si>
    <t>Credit card charges</t>
  </si>
  <si>
    <t>743700</t>
  </si>
  <si>
    <t>%,V743800</t>
  </si>
  <si>
    <t>Freight(UPS)</t>
  </si>
  <si>
    <t>743800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</si>
  <si>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</si>
  <si>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</si>
  <si>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</si>
  <si>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</si>
  <si>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</si>
  <si>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</si>
  <si>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</si>
  <si>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</si>
  <si>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</si>
  <si>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%,V750300</t>
  </si>
  <si>
    <t>Moving services</t>
  </si>
  <si>
    <t>750300</t>
  </si>
  <si>
    <t>%,V750400</t>
  </si>
  <si>
    <t>Locksmith services</t>
  </si>
  <si>
    <t>750400</t>
  </si>
  <si>
    <t>%,V750800</t>
  </si>
  <si>
    <t>Trash removal/hauling</t>
  </si>
  <si>
    <t>750800</t>
  </si>
  <si>
    <t>%,V750900</t>
  </si>
  <si>
    <t>Other professional fees</t>
  </si>
  <si>
    <t>750900</t>
  </si>
  <si>
    <t>%,V751100</t>
  </si>
  <si>
    <t>Security</t>
  </si>
  <si>
    <t>751100</t>
  </si>
  <si>
    <t>%,V751200</t>
  </si>
  <si>
    <t>Continuing Ed Support</t>
  </si>
  <si>
    <t>751200</t>
  </si>
  <si>
    <t>%,V751300</t>
  </si>
  <si>
    <t>Speaker honorarium</t>
  </si>
  <si>
    <t>751300</t>
  </si>
  <si>
    <t xml:space="preserve">    Other Operating Revenues</t>
  </si>
  <si>
    <t xml:space="preserve">    Salaries and Wages</t>
  </si>
  <si>
    <t xml:space="preserve">    Staff Benefits</t>
  </si>
  <si>
    <t>%,FACCOUNT,TGASB_34_35,X,NCOGS</t>
  </si>
  <si>
    <t xml:space="preserve">    Cost of Goods Sold</t>
  </si>
  <si>
    <t>%,FACCOUNT,TGASB_34_35,X,NUTILITIES,NUTILITIES UNIV GENER</t>
  </si>
  <si>
    <t xml:space="preserve">    Utilities</t>
  </si>
  <si>
    <t>%,FACCOUNT,TGASB_34_35,X,NSUPPLY_NONCAP ASSET</t>
  </si>
  <si>
    <t xml:space="preserve">    Supplies and Non Capital Equipment</t>
  </si>
  <si>
    <t>%,FACCOUNT,TGASB_34_35,X,NPROFESSIONAL &amp; CONSU</t>
  </si>
  <si>
    <t xml:space="preserve">    Professional and Consulting Services</t>
  </si>
  <si>
    <t>%,FACCOUNT,TGASB_34_35,X,NOTHER DEPT OPERATING,NDISP OF PLANT ASSETS,NSCHOLAR &amp; FELLOW,NCAPITAL ASSETS,NCAPITAL OFFSET,NDEPR,NINVESTMENT IN PLANT,NSELF INSURANCE BENE</t>
  </si>
  <si>
    <t xml:space="preserve">    Other Departmental Operating Expense</t>
  </si>
  <si>
    <t>Other Nonoperating Revenues (Expenses) and Transfers:</t>
  </si>
  <si>
    <t xml:space="preserve">    Investment and Endowment Income</t>
  </si>
  <si>
    <t>%,R,FACCOUNT,TGASB_34_35,X,NGIFTS</t>
  </si>
  <si>
    <t xml:space="preserve">    Private Gifts</t>
  </si>
  <si>
    <t>%,FACCOUNT,TGASB_34_35,X,NINTEREST CAP DEBT</t>
  </si>
  <si>
    <t xml:space="preserve">    Interest Expense</t>
  </si>
  <si>
    <t>%,R,FACCOUNT,TGASB_34_35,X,NFEDERAL APPROPS,NPAYMENTS TO BENE,NRETIREMENT BENEFITS,NSTATE APPROPS</t>
  </si>
  <si>
    <t xml:space="preserve">    Other Nonoperating Revenues and Expenses</t>
  </si>
  <si>
    <t>%,R,FACCOUNT,TGASB_34_35,X,NTRANSFERS</t>
  </si>
  <si>
    <t xml:space="preserve">    Transfers</t>
  </si>
  <si>
    <t xml:space="preserve">        Net Other Nonoperating Revenues (Expenses)</t>
  </si>
  <si>
    <t xml:space="preserve">           and Transfers</t>
  </si>
  <si>
    <t xml:space="preserve">               Increase (Decrease) in Net Assets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</si>
  <si>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</si>
  <si>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</si>
  <si>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</si>
  <si>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</si>
  <si>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</si>
  <si>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</si>
  <si>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</si>
  <si>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PGASB13R</t>
  </si>
  <si>
    <t>Balance</t>
  </si>
  <si>
    <t>Gifts, Grants</t>
  </si>
  <si>
    <t>Income From</t>
  </si>
  <si>
    <t>Investments &amp;</t>
  </si>
  <si>
    <t>&amp; Contracts</t>
  </si>
  <si>
    <t>Student Loans</t>
  </si>
  <si>
    <t>Other Income</t>
  </si>
  <si>
    <t>Deductions</t>
  </si>
  <si>
    <t>In(Out)</t>
  </si>
  <si>
    <t>RESTRICTED:</t>
  </si>
  <si>
    <t>%,VR6001</t>
  </si>
  <si>
    <t>PERKINS LOAN(FEDERAL</t>
  </si>
  <si>
    <t>%,VR6002</t>
  </si>
  <si>
    <t>ICL(FEDERAL)</t>
  </si>
  <si>
    <t>%,VR6003</t>
  </si>
  <si>
    <t>ALLOW DBTFL LOAN-FED</t>
  </si>
  <si>
    <t>%,VR6006</t>
  </si>
  <si>
    <t>ALUMNI STUDENT LOAN</t>
  </si>
  <si>
    <t>%,VR6008</t>
  </si>
  <si>
    <t>A S M E LOAN FUND</t>
  </si>
  <si>
    <t>%,VR6009</t>
  </si>
  <si>
    <t>R A ARMSTRONG LOAN</t>
  </si>
  <si>
    <t>%,VR6010</t>
  </si>
  <si>
    <t>J B ARTHUR LOAN</t>
  </si>
  <si>
    <t>%,VR6011</t>
  </si>
  <si>
    <t>C S BARNARD LOAN</t>
  </si>
  <si>
    <t>%,VR6012</t>
  </si>
  <si>
    <t>EUNICE BEIMDIEK LN</t>
  </si>
  <si>
    <t>%,VR6013</t>
  </si>
  <si>
    <t>BERUTT MEM LOAN</t>
  </si>
  <si>
    <t>%,VR6014</t>
  </si>
  <si>
    <t>JACK BOBBITT LOAN FD</t>
  </si>
  <si>
    <t>%,VR6015</t>
  </si>
  <si>
    <t>BOYD MEM LOAN</t>
  </si>
  <si>
    <t>%,VR6016</t>
  </si>
  <si>
    <t>BOYD/WATTS LOAN</t>
  </si>
  <si>
    <t>%,VR6018</t>
  </si>
  <si>
    <t>HUGH AND FLO BRYANT</t>
  </si>
  <si>
    <t>%,VR6021</t>
  </si>
  <si>
    <t>EBEN R CRUM LOAN</t>
  </si>
  <si>
    <t>%,VR6023</t>
  </si>
  <si>
    <t>PB &amp; JJ DOYLE LN FD</t>
  </si>
  <si>
    <t>%,VR6024</t>
  </si>
  <si>
    <t>ELECT ENG LOAN FD</t>
  </si>
  <si>
    <t>%,VR6026</t>
  </si>
  <si>
    <t>H Q FULLER SCH-LN FD</t>
  </si>
  <si>
    <t>%,VR6027</t>
  </si>
  <si>
    <t>HARTVIGSEN ESTATE FD</t>
  </si>
  <si>
    <t>%,VR6030</t>
  </si>
  <si>
    <t>GOLD LOAN FUND</t>
  </si>
  <si>
    <t>%,VR6031</t>
  </si>
  <si>
    <t>JOHN P HARMON LOAN</t>
  </si>
  <si>
    <t>%,VR6033</t>
  </si>
  <si>
    <t>HASSELMANN LOAN FUND</t>
  </si>
  <si>
    <t>%,VR6036</t>
  </si>
  <si>
    <t>JACKLING LOAN FUND</t>
  </si>
  <si>
    <t>%,VR6038</t>
  </si>
  <si>
    <t>MCBRIDE LOAN/SCHP</t>
  </si>
  <si>
    <t>%,VR6039</t>
  </si>
  <si>
    <t>"M" CLUB LOAN FUND</t>
  </si>
  <si>
    <t>%,VR6042</t>
  </si>
  <si>
    <t>STONE SCHP/LOAN</t>
  </si>
  <si>
    <t>%,VR6044</t>
  </si>
  <si>
    <t>H L PRANGE LOAN</t>
  </si>
  <si>
    <t>%,VR6046</t>
  </si>
  <si>
    <t>RHOADES 32 LOAN FD</t>
  </si>
  <si>
    <t>%,VR6049</t>
  </si>
  <si>
    <t>ROLLA ROTARY CLUB LN</t>
  </si>
  <si>
    <t>%,VR6050</t>
  </si>
  <si>
    <t>D R SCHOOLER MEM LN</t>
  </si>
  <si>
    <t>%,VR6051</t>
  </si>
  <si>
    <t>W T SCHRENK LOAN</t>
  </si>
  <si>
    <t>%,VR6052</t>
  </si>
  <si>
    <t>O M SCOTT LOAN</t>
  </si>
  <si>
    <t>%,VR6053</t>
  </si>
  <si>
    <t>JOHN R STUBBINS LOAN</t>
  </si>
  <si>
    <t>%,VR6054</t>
  </si>
  <si>
    <t>TRAGITT MEM LOAN</t>
  </si>
  <si>
    <t>%,VR6055</t>
  </si>
  <si>
    <t>F E TOWNSEND LOAN</t>
  </si>
  <si>
    <t>%,VR6056</t>
  </si>
  <si>
    <t>UNITED STUDENT AID</t>
  </si>
  <si>
    <t>%,VR6058</t>
  </si>
  <si>
    <t>E W WAGGONER LOAN</t>
  </si>
  <si>
    <t>%,VR6059</t>
  </si>
  <si>
    <t>WESTERN ELECTRIC LN</t>
  </si>
  <si>
    <t>%,VR6061</t>
  </si>
  <si>
    <t>WOMEN'S AUXILIARY LN</t>
  </si>
  <si>
    <t>%,VR6062</t>
  </si>
  <si>
    <t>H E ZOLLER ST N FD</t>
  </si>
  <si>
    <t>%,VR6065</t>
  </si>
  <si>
    <t>ALLOW DBFL NOT NF RE</t>
  </si>
  <si>
    <t>%,VR6066</t>
  </si>
  <si>
    <t>IVA BASORE LOAN</t>
  </si>
  <si>
    <t>%,VR6067</t>
  </si>
  <si>
    <t>Met Engr Alumni Ln</t>
  </si>
  <si>
    <t>%,VR6068</t>
  </si>
  <si>
    <t>CHRISTIAN LOAN FUND</t>
  </si>
  <si>
    <t>%,VR6069</t>
  </si>
  <si>
    <t>FORGIVENESS LOAN</t>
  </si>
  <si>
    <t>%,FPROGRAM_CODE,TPROGRAM,X,NR_LOANPGM,NA_LOANPGM,NK_LOANPGM,NC_LOANPGM,NE_LOANPGM,NS_LOANPGM,NU_LOANPGM,FFUND_CODE,TGASB_34_35_FUND,NLOAN_FUNDS_RESTEXP,NLOAN_FUNDS_NONEXP</t>
  </si>
  <si>
    <t>TOTAL RESTRICTED</t>
  </si>
  <si>
    <t>UNRESTRICTED:</t>
  </si>
  <si>
    <t>%,VR6005</t>
  </si>
  <si>
    <t>ALLOW DBFL NOTE-NF-U</t>
  </si>
  <si>
    <t>%,VR6057</t>
  </si>
  <si>
    <t>UMR COMMEMORATIVE LN</t>
  </si>
  <si>
    <t>%,VR6063</t>
  </si>
  <si>
    <t>LOAN PAYTS SUSPENSE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</si>
  <si>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</si>
  <si>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</si>
  <si>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</si>
  <si>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</si>
  <si>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%,ATF,FDESCR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</si>
  <si>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</si>
  <si>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</si>
  <si>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</si>
  <si>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</si>
  <si>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</si>
  <si>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PGASB14R</t>
  </si>
  <si>
    <t>Gifts and</t>
  </si>
  <si>
    <t>Income (Loss)</t>
  </si>
  <si>
    <t>Gain (Loss)</t>
  </si>
  <si>
    <t>Other</t>
  </si>
  <si>
    <t>added to</t>
  </si>
  <si>
    <t>on Sale of</t>
  </si>
  <si>
    <t>Transfers
In (Out)</t>
  </si>
  <si>
    <t>Balance
%ASD%</t>
  </si>
  <si>
    <t>Additions</t>
  </si>
  <si>
    <t>Principal</t>
  </si>
  <si>
    <t>Securities</t>
  </si>
  <si>
    <t>In (Out)</t>
  </si>
  <si>
    <t>ENDOWMENT FUNDS:</t>
  </si>
  <si>
    <t>INCOME RESTRICTED -</t>
  </si>
  <si>
    <t>%,VR0000</t>
  </si>
  <si>
    <t>ABBETT SCHP</t>
  </si>
  <si>
    <t>%,VR0003</t>
  </si>
  <si>
    <t>AEROSPACE ENG SCHP</t>
  </si>
  <si>
    <t>%,VR0005</t>
  </si>
  <si>
    <t>ALL AMER SWIM SCHP</t>
  </si>
  <si>
    <t>%,VR0006</t>
  </si>
  <si>
    <t>ALLIED SIGNAL FUND</t>
  </si>
  <si>
    <t>%,VR0007</t>
  </si>
  <si>
    <t>ALUMNI-FAC-FRIENDS</t>
  </si>
  <si>
    <t>%,VR0008</t>
  </si>
  <si>
    <t>MCCRAE-ANDERSON-ROTH</t>
  </si>
  <si>
    <t>%,VR0010</t>
  </si>
  <si>
    <t>J B ARTHUR SCHP</t>
  </si>
  <si>
    <t>%,VR0011</t>
  </si>
  <si>
    <t>ASARCO FDN SCHP</t>
  </si>
  <si>
    <t>%,VR0012</t>
  </si>
  <si>
    <t>AT&amp;T MINORITY SCH</t>
  </si>
  <si>
    <t>%,VR0013</t>
  </si>
  <si>
    <t>R L BANKS END SCHP</t>
  </si>
  <si>
    <t>%,VR0014</t>
  </si>
  <si>
    <t>BALEY SCHOLARS END</t>
  </si>
  <si>
    <t>%,VR0015</t>
  </si>
  <si>
    <t>BARRETT MEM SCHP</t>
  </si>
  <si>
    <t>%,VR0016</t>
  </si>
  <si>
    <t>BASLER SCHP FD</t>
  </si>
  <si>
    <t>%,VR0017</t>
  </si>
  <si>
    <t>BIRBECK END SCHOL</t>
  </si>
  <si>
    <t>%,VR0018</t>
  </si>
  <si>
    <t>BELLIS SCHOLARSHIP</t>
  </si>
  <si>
    <t>%,VR0020</t>
  </si>
  <si>
    <t>BODINE MEM SCHP</t>
  </si>
  <si>
    <t>%,VR0021</t>
  </si>
  <si>
    <t>BOSCH END SCHP</t>
  </si>
  <si>
    <t>%,VR0022</t>
  </si>
  <si>
    <t>BISHOP SCHOLARSHIP</t>
  </si>
  <si>
    <t>%,VR0025</t>
  </si>
  <si>
    <t>BOYD/WATTS SCHP</t>
  </si>
  <si>
    <t>%,VR0026</t>
  </si>
  <si>
    <t>W R BROADDUS SCHP</t>
  </si>
  <si>
    <t>%,VR0027</t>
  </si>
  <si>
    <t>BUDACK SCHP ENGR</t>
  </si>
  <si>
    <t>%,VR0030</t>
  </si>
  <si>
    <t>N LES CLARK END SCHP</t>
  </si>
  <si>
    <t>%,VR0033</t>
  </si>
  <si>
    <t>CASTLEMAN MEM SCHP</t>
  </si>
  <si>
    <t>%,VR0034</t>
  </si>
  <si>
    <t>CERAMIC ENG END SCH</t>
  </si>
  <si>
    <t>%,VR0035</t>
  </si>
  <si>
    <t>CHRISTIAN ACH AWD-CE</t>
  </si>
  <si>
    <t>%,VR0036</t>
  </si>
  <si>
    <t>CHUBB FELLOWSHIP</t>
  </si>
  <si>
    <t>%,VR0037</t>
  </si>
  <si>
    <t>CHAO SCHP/FELLOWSHIP</t>
  </si>
  <si>
    <t>%,VR0039</t>
  </si>
  <si>
    <t>BOOTS CLAYTON SCHOL</t>
  </si>
  <si>
    <t>%,VR0040</t>
  </si>
  <si>
    <t>CLAIR FELLOWSHIP</t>
  </si>
  <si>
    <t>%,VR0041</t>
  </si>
  <si>
    <t>CLEMENT &amp; CUNNINGHAM</t>
  </si>
  <si>
    <t>%,VR0042</t>
  </si>
  <si>
    <t>ANDY &amp; TONI COCHRAN</t>
  </si>
  <si>
    <t>%,VR0043</t>
  </si>
  <si>
    <t>COLE END SCHP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</si>
  <si>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</si>
  <si>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</si>
  <si>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</si>
  <si>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</si>
  <si>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</si>
  <si>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</si>
  <si>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</si>
  <si>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</si>
  <si>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</si>
  <si>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</si>
  <si>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</si>
  <si>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</si>
  <si>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</si>
  <si>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</si>
  <si>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</si>
  <si>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%,V392000</t>
  </si>
  <si>
    <t>Revenue Allocations/Transfers</t>
  </si>
  <si>
    <t>392000</t>
  </si>
  <si>
    <t>%,V392100</t>
  </si>
  <si>
    <t>Intra Divisional Rev Transfers</t>
  </si>
  <si>
    <t>392100</t>
  </si>
  <si>
    <t>%,V393000</t>
  </si>
  <si>
    <t>Other Allocations/Transfers In</t>
  </si>
  <si>
    <t>393000</t>
  </si>
  <si>
    <t>%,V393700</t>
  </si>
  <si>
    <t>Trans In Fixed Price Contract</t>
  </si>
  <si>
    <t>393700</t>
  </si>
  <si>
    <t>%,V863001</t>
  </si>
  <si>
    <t>Other Allocations/Transfer Out</t>
  </si>
  <si>
    <t>863001</t>
  </si>
  <si>
    <t>%,V864000</t>
  </si>
  <si>
    <t>Subsidy</t>
  </si>
  <si>
    <t>864000</t>
  </si>
  <si>
    <t>%,V865000</t>
  </si>
  <si>
    <t>Work Study/SEOG</t>
  </si>
  <si>
    <t>865000</t>
  </si>
  <si>
    <t>%,V867000</t>
  </si>
  <si>
    <t>Trans Out fixed price contract</t>
  </si>
  <si>
    <t>867000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</si>
  <si>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</si>
  <si>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</si>
  <si>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</si>
  <si>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</si>
  <si>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</si>
  <si>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</si>
  <si>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</si>
  <si>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</si>
  <si>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</si>
  <si>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</si>
  <si>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</si>
  <si>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</si>
  <si>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</si>
  <si>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</si>
  <si>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</si>
  <si>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</si>
  <si>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</si>
  <si>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</si>
  <si>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</si>
  <si>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%,V0720</t>
  </si>
  <si>
    <t>%,V0725</t>
  </si>
  <si>
    <t>%,V0730</t>
  </si>
  <si>
    <t>%,V0740</t>
  </si>
  <si>
    <t>%,V0770</t>
  </si>
  <si>
    <t>%,V0795</t>
  </si>
  <si>
    <t>%,V0805</t>
  </si>
  <si>
    <t>%,V0815</t>
  </si>
  <si>
    <t>%,FFUND_CODE,TGASB_34_35_FUND,X,NSVC_OPER_UNR</t>
  </si>
  <si>
    <t>Income (Loss) after State Appropriations, before</t>
  </si>
  <si>
    <t xml:space="preserve">   Nonoperating Revenues (Expenses)</t>
  </si>
  <si>
    <t xml:space="preserve">    Income (Loss) before Capital and Endowment</t>
  </si>
  <si>
    <t>HENDERSON ENDOWED</t>
  </si>
  <si>
    <t>%,VR0101</t>
  </si>
  <si>
    <t>HELWIG ENDOWED SCHP</t>
  </si>
  <si>
    <t>%,VR0103</t>
  </si>
  <si>
    <t>HERRMAN PERF ARTS AW</t>
  </si>
  <si>
    <t>%,VR0105</t>
  </si>
  <si>
    <t>HEIM SCHP FUND</t>
  </si>
  <si>
    <t>%,VR0106</t>
  </si>
  <si>
    <t>PAT HELL END SCHP</t>
  </si>
  <si>
    <t>%,VR0107</t>
  </si>
  <si>
    <t>HIGHFILL ENDOW SCHP</t>
  </si>
  <si>
    <t>%,VR0109</t>
  </si>
  <si>
    <t>HOPPOCK ATHLETIC SCH</t>
  </si>
  <si>
    <t>%,VR0110</t>
  </si>
  <si>
    <t>HORNER &amp; SHIFRIN SCH</t>
  </si>
  <si>
    <t>%,VR0111</t>
  </si>
  <si>
    <t>HOWERTON SCHP</t>
  </si>
  <si>
    <t>%,VR0112</t>
  </si>
  <si>
    <t>JENKS ENDOWED SCHP</t>
  </si>
  <si>
    <t>%,VR0113</t>
  </si>
  <si>
    <t>ROBERT JENKINS SCHP</t>
  </si>
  <si>
    <t>%,VR0114</t>
  </si>
  <si>
    <t>JOHNS ENDOWED SCHP</t>
  </si>
  <si>
    <t>%,VR0116</t>
  </si>
  <si>
    <t>JAMES JOHNSON SCHP</t>
  </si>
  <si>
    <t>%,VR0117</t>
  </si>
  <si>
    <t>KRUEGER ATH SCHP</t>
  </si>
  <si>
    <t>%,VR0118</t>
  </si>
  <si>
    <t>JAMIESON ENDOW SCHP</t>
  </si>
  <si>
    <t>%,VR0119</t>
  </si>
  <si>
    <t>JONES ENDOWED PROF</t>
  </si>
  <si>
    <t>%,VR0120</t>
  </si>
  <si>
    <t>KAISER SCH-MECH ENGR</t>
  </si>
  <si>
    <t>%,VR0121</t>
  </si>
  <si>
    <t>HIGHFILL SCHP</t>
  </si>
  <si>
    <t>%,VR0122</t>
  </si>
  <si>
    <t>M J KELLY SCHP</t>
  </si>
  <si>
    <t>%,VR0123</t>
  </si>
  <si>
    <t>KITCHEN ATHLETIC SHP</t>
  </si>
  <si>
    <t>%,VR0124</t>
  </si>
  <si>
    <t>MARTIN LUTHER KING</t>
  </si>
  <si>
    <t>%,VR0125</t>
  </si>
  <si>
    <t>KRAUS MEM SCHP</t>
  </si>
  <si>
    <t>%,VR0126</t>
  </si>
  <si>
    <t>HARLEY LADD SCHP</t>
  </si>
  <si>
    <t>%,VR0127</t>
  </si>
  <si>
    <t>LANG FAMILY SCHP</t>
  </si>
  <si>
    <t>%,VR0128</t>
  </si>
  <si>
    <t>LARKIN MEMORIAL SCH</t>
  </si>
  <si>
    <t>%,VR0129</t>
  </si>
  <si>
    <t>LASKO ENDOWED SCHP</t>
  </si>
  <si>
    <t>%,VR0130</t>
  </si>
  <si>
    <t>M B LAYNE SCHP</t>
  </si>
  <si>
    <t>%,VR0131</t>
  </si>
  <si>
    <t>LEAVER ENDOWED SCHP</t>
  </si>
  <si>
    <t>%,VR0132</t>
  </si>
  <si>
    <t>LOVETT EE SCHP</t>
  </si>
  <si>
    <t>%,VR0133</t>
  </si>
  <si>
    <t>F &amp; J LYONS END SCHP</t>
  </si>
  <si>
    <t>%,VR0134</t>
  </si>
  <si>
    <t>F M MACKLIN MEM FD</t>
  </si>
  <si>
    <t>%,VR0135</t>
  </si>
  <si>
    <t>MARCHELLO SCHP</t>
  </si>
  <si>
    <t>%,VR0138</t>
  </si>
  <si>
    <t>MCNABB END SCHP</t>
  </si>
  <si>
    <t>%,VR0139</t>
  </si>
  <si>
    <t>MAX MCCRORY SCHP</t>
  </si>
  <si>
    <t>%,VR0140</t>
  </si>
  <si>
    <t>HASSELMANN SCHP FD</t>
  </si>
  <si>
    <t>%,VR0141</t>
  </si>
  <si>
    <t>MCKEE SCHP</t>
  </si>
  <si>
    <t>%,VR0143</t>
  </si>
  <si>
    <t>MENTZ SCHP</t>
  </si>
  <si>
    <t>%,VR0144</t>
  </si>
  <si>
    <t>METAL ENGR ALUM SCHP</t>
  </si>
  <si>
    <t>%,VR0145</t>
  </si>
  <si>
    <t>MYERS ENDOWED SCHP</t>
  </si>
  <si>
    <t>%,VR0146</t>
  </si>
  <si>
    <t>A J MILES MEM SCHP</t>
  </si>
  <si>
    <t>%,VR0147</t>
  </si>
  <si>
    <t>B MILLER MEM SCHP</t>
  </si>
  <si>
    <t>%,VR0148</t>
  </si>
  <si>
    <t>MONSANTO TBP AWARD</t>
  </si>
  <si>
    <t>%,VR0149</t>
  </si>
  <si>
    <t>MONTGOMERY SCHP</t>
  </si>
  <si>
    <t>%,VR0150</t>
  </si>
  <si>
    <t>MORGAN SCHP</t>
  </si>
  <si>
    <t>%,VR0151</t>
  </si>
  <si>
    <t>MORGAN AND GEOLOGY</t>
  </si>
  <si>
    <t>%,VR0152</t>
  </si>
  <si>
    <t>MURPHY COMPANY SCHOL</t>
  </si>
  <si>
    <t>%,VR0153</t>
  </si>
  <si>
    <t>NAU SCHOLARSHIP</t>
  </si>
  <si>
    <t>%,VR0154</t>
  </si>
  <si>
    <t>E R NEEDLES SCH-C E</t>
  </si>
  <si>
    <t>%,VR0155</t>
  </si>
  <si>
    <t>E R NEEDLES SPEECH</t>
  </si>
  <si>
    <t>%,VR0156</t>
  </si>
  <si>
    <t>NEVINS END SCHP</t>
  </si>
  <si>
    <t>%,VR0158</t>
  </si>
  <si>
    <t>NICODEMUS ACAD ATH</t>
  </si>
  <si>
    <t>%,VR0159</t>
  </si>
  <si>
    <t>OWSLEY SCHP FUND</t>
  </si>
  <si>
    <t>%,VR0160</t>
  </si>
  <si>
    <t>OMURTAG/BALLARD SCH</t>
  </si>
  <si>
    <t>%,VR0162</t>
  </si>
  <si>
    <t>WJ &amp; PW NOLTE SCHP</t>
  </si>
  <si>
    <t>%,VR0163</t>
  </si>
  <si>
    <t>PALMER MEM SCHP</t>
  </si>
  <si>
    <t>%,VR0164</t>
  </si>
  <si>
    <t>PARSONS SCHP</t>
  </si>
  <si>
    <t>%,VR0165</t>
  </si>
  <si>
    <t>LEWIS PAYNE SCHP</t>
  </si>
  <si>
    <t>%,VR0166</t>
  </si>
  <si>
    <t>HG PETERSON SCH FUND</t>
  </si>
  <si>
    <t>%,VR0167</t>
  </si>
  <si>
    <t>PHELPS CO-CITY PANHL</t>
  </si>
  <si>
    <t>%,VR0168</t>
  </si>
  <si>
    <t>P H PIETSCH MEM SCH</t>
  </si>
  <si>
    <t>%,VR0169</t>
  </si>
  <si>
    <t>PINZKE MEM SCHP</t>
  </si>
  <si>
    <t>%,VR0170</t>
  </si>
  <si>
    <t>POGUE END SCHP</t>
  </si>
  <si>
    <t>%,VR0171</t>
  </si>
  <si>
    <t>POLLARD SCHP</t>
  </si>
  <si>
    <t>%,VR0172</t>
  </si>
  <si>
    <t>PORCHEY ENDOW SCHP</t>
  </si>
  <si>
    <t>%,VR0173</t>
  </si>
  <si>
    <t>PREWETT ENDOWED SCHP</t>
  </si>
  <si>
    <t>%,VR0174</t>
  </si>
  <si>
    <t>RADCLIFFE END GEOL SCHP</t>
  </si>
  <si>
    <t>%,VR0175</t>
  </si>
  <si>
    <t>J A REDDING SCHP</t>
  </si>
  <si>
    <t>%,VR0176</t>
  </si>
  <si>
    <t>T H REESE JR MEM</t>
  </si>
  <si>
    <t>%,VR0177</t>
  </si>
  <si>
    <t>AGNES REMINGTON SCH</t>
  </si>
  <si>
    <t>%,VR0178</t>
  </si>
  <si>
    <t>REMINGTON SCHP</t>
  </si>
  <si>
    <t>%,VR0179</t>
  </si>
  <si>
    <t>RIGGS ENDOWED SCHP</t>
  </si>
  <si>
    <t>%,VR0180</t>
  </si>
  <si>
    <t>ROBERTS CIVIL ENG</t>
  </si>
  <si>
    <t>%,VR0181</t>
  </si>
  <si>
    <t>ROTHBAND MEMORIAL</t>
  </si>
  <si>
    <t>%,VR0182</t>
  </si>
  <si>
    <t>BR SARCHET SCHP FUND</t>
  </si>
  <si>
    <t>%,VR0183</t>
  </si>
  <si>
    <t>SAUER SCHOLARSHIP</t>
  </si>
  <si>
    <t>%,VR0184</t>
  </si>
  <si>
    <t>SCHAFER ENDOW SCHP</t>
  </si>
  <si>
    <t>%,VR0185</t>
  </si>
  <si>
    <t>LAIRD SCHEARER FUND</t>
  </si>
  <si>
    <t>%,VR0186</t>
  </si>
  <si>
    <t>SCHOENTHALER SCHOLAR</t>
  </si>
  <si>
    <t>%,VR0188</t>
  </si>
  <si>
    <t>SENNE CIVIL ENG</t>
  </si>
  <si>
    <t>%,VR0189</t>
  </si>
  <si>
    <t>L T SICKA SCHOLARSHP</t>
  </si>
  <si>
    <t>%,VR0191</t>
  </si>
  <si>
    <t>SOWERS ENDOWED SCHP</t>
  </si>
  <si>
    <t>%,VR0192</t>
  </si>
  <si>
    <t>SMITH ENDOWED SCHP</t>
  </si>
  <si>
    <t>%,VR0193</t>
  </si>
  <si>
    <t>SNELSON SCHOLARSHIP</t>
  </si>
  <si>
    <t>%,VR0194</t>
  </si>
  <si>
    <t>SOULT MEM SCHP</t>
  </si>
  <si>
    <t>%,VR0195</t>
  </si>
  <si>
    <t>SPOKES END SCHP</t>
  </si>
  <si>
    <t>%,VR0196</t>
  </si>
  <si>
    <t>STL COAL CLUB SCHP</t>
  </si>
  <si>
    <t>%,VR0197</t>
  </si>
  <si>
    <t>STEVENS ENDOW SCHP</t>
  </si>
  <si>
    <t>%,VR0198</t>
  </si>
  <si>
    <t>STEWART-FRAIZER SCHP</t>
  </si>
  <si>
    <t>%,VR0199</t>
  </si>
  <si>
    <t>STOCKETT SCHOLARSHIP</t>
  </si>
  <si>
    <t>%,VR0200</t>
  </si>
  <si>
    <t>STONE ENDOWED SCHP</t>
  </si>
  <si>
    <t>%,VR0201</t>
  </si>
  <si>
    <t>B B STRANG MEMORIAL</t>
  </si>
  <si>
    <t>%,VR0202</t>
  </si>
  <si>
    <t>M R STRUNK SCH</t>
  </si>
  <si>
    <t>%,VR0203</t>
  </si>
  <si>
    <t>STUECK SCHP CIVIL EN</t>
  </si>
  <si>
    <t>%,VR0204</t>
  </si>
  <si>
    <t>STOFFER SCHP CHEM</t>
  </si>
  <si>
    <t>%,VR0205</t>
  </si>
  <si>
    <t>JH SUBOW MEM</t>
  </si>
  <si>
    <t>%,VR0206</t>
  </si>
  <si>
    <t>TAYLOR SCHOLARSHIP</t>
  </si>
  <si>
    <t>%,VR0208</t>
  </si>
  <si>
    <t>TODD MEM SCHP</t>
  </si>
  <si>
    <t>%,VR0210</t>
  </si>
  <si>
    <t>UNSELL MEM SCHP</t>
  </si>
  <si>
    <t>%,VR0211</t>
  </si>
  <si>
    <t>VALERIUS SCHP</t>
  </si>
  <si>
    <t>%,VR0212</t>
  </si>
  <si>
    <t>VAN NOSTRAND SCH</t>
  </si>
  <si>
    <t>%,VR0213</t>
  </si>
  <si>
    <t>VICKERS ATH SCH</t>
  </si>
  <si>
    <t>%,VR0214</t>
  </si>
  <si>
    <t>VITEK FELLOWSHIP</t>
  </si>
  <si>
    <t>%,VR0215</t>
  </si>
  <si>
    <t>VOGT ENDOWED FUND</t>
  </si>
  <si>
    <t>%,VR0216</t>
  </si>
  <si>
    <t>HAM WEBB END SCH FD</t>
  </si>
  <si>
    <t>%,VR0217</t>
  </si>
  <si>
    <t>BUD WEISER MEM SCHP</t>
  </si>
  <si>
    <t>%,VR0219</t>
  </si>
  <si>
    <t>WEINER SCHP PLA</t>
  </si>
  <si>
    <t>%,VR0220</t>
  </si>
  <si>
    <t>WEST CHAP PROF ENG</t>
  </si>
  <si>
    <t>%,VR0221</t>
  </si>
  <si>
    <t>CLARK WILSON SCHP</t>
  </si>
  <si>
    <t>%,VR0222</t>
  </si>
  <si>
    <t>WEINER ENDOW PSYCH</t>
  </si>
  <si>
    <t>%,VR0223</t>
  </si>
  <si>
    <t>WEINER ENDOW ECON</t>
  </si>
  <si>
    <t>%,VR0224</t>
  </si>
  <si>
    <t>WEINER ENDOW HISTORY</t>
  </si>
  <si>
    <t>%,VR0225</t>
  </si>
  <si>
    <t>WITT MINE SAFETY SCH</t>
  </si>
  <si>
    <t>%,VR0226</t>
  </si>
  <si>
    <t>WEINER ENDOW ENGLISH</t>
  </si>
  <si>
    <t>%,VR0227</t>
  </si>
  <si>
    <t>WEINER ENDW MGMT SYS</t>
  </si>
  <si>
    <t>%,VR0228</t>
  </si>
  <si>
    <t>WEINER INTERNATIONAL</t>
  </si>
  <si>
    <t>%,VR0229</t>
  </si>
  <si>
    <t>L E WOODMAN MEM SCHP</t>
  </si>
  <si>
    <t>%,VR0230</t>
  </si>
  <si>
    <t>WYATT SCHP</t>
  </si>
  <si>
    <t>%,VR0231</t>
  </si>
  <si>
    <t>WISHERD ENDOW SCHP</t>
  </si>
  <si>
    <t>%,VR0232</t>
  </si>
  <si>
    <t>THOMPSON D SCHOLAR</t>
  </si>
  <si>
    <t>%,VR0233</t>
  </si>
  <si>
    <t>L E YOUNG SCHP</t>
  </si>
  <si>
    <t>%,VR0234</t>
  </si>
  <si>
    <t>MARVIN ZEID SCHP</t>
  </si>
  <si>
    <t>%,VR0235</t>
  </si>
  <si>
    <t>HAYDON ENDOWED SCHOL</t>
  </si>
  <si>
    <t>%,VR0236</t>
  </si>
  <si>
    <t>ACADEMY CHEMICAL ENG</t>
  </si>
  <si>
    <t>%,VR0240</t>
  </si>
  <si>
    <t>BAILEY MISSOURI PROF</t>
  </si>
  <si>
    <t>%,VR0242</t>
  </si>
  <si>
    <t>FRANK APPLEYARD END</t>
  </si>
  <si>
    <t>%,VR0243</t>
  </si>
  <si>
    <t>C E ALUMNI ASSISTANT</t>
  </si>
  <si>
    <t>%,VR0246</t>
  </si>
  <si>
    <t>CLASS OF 1937 FAC EX</t>
  </si>
  <si>
    <t>%,VR0248</t>
  </si>
  <si>
    <t>DAILY MGMT OF TECH</t>
  </si>
  <si>
    <t>%,VR0251</t>
  </si>
  <si>
    <t>ORDER GOLDEN END</t>
  </si>
  <si>
    <t>%,VR0252</t>
  </si>
  <si>
    <t>DAKE-BROWN LIBR ACQ</t>
  </si>
  <si>
    <t>%,VR0256</t>
  </si>
  <si>
    <t>ENG MGMT END ST EXCL</t>
  </si>
  <si>
    <t>%,VR0257</t>
  </si>
  <si>
    <t>ELECT COMP LAB END</t>
  </si>
  <si>
    <t>%,VR0258</t>
  </si>
  <si>
    <t>FACULTY EXCELLENCE</t>
  </si>
  <si>
    <t>%,VR0259</t>
  </si>
  <si>
    <t>FCR MO PROF CHEMISTR</t>
  </si>
  <si>
    <t>%,VR0260</t>
  </si>
  <si>
    <t>FCR ENDOWED EQUP</t>
  </si>
  <si>
    <t>%,VR0261</t>
  </si>
  <si>
    <t>FICK END MINES &amp; MET</t>
  </si>
  <si>
    <t>%,VR0262</t>
  </si>
  <si>
    <t>FINLEY FACULTY ENH</t>
  </si>
  <si>
    <t>%,VR0263</t>
  </si>
  <si>
    <t>FINLEY PROF ELEC ENG</t>
  </si>
  <si>
    <t>%,VR0264</t>
  </si>
  <si>
    <t>FINLEY MO PROF</t>
  </si>
  <si>
    <t>%,VR0265</t>
  </si>
  <si>
    <t>GULF OIL FDN PROF</t>
  </si>
  <si>
    <t>%,VR0267</t>
  </si>
  <si>
    <t>HALLETT FUND</t>
  </si>
  <si>
    <t>%,VR0270</t>
  </si>
  <si>
    <t>HASSELMANN PROF</t>
  </si>
  <si>
    <t>%,VR0271</t>
  </si>
  <si>
    <t>INGRAM LECTURES</t>
  </si>
  <si>
    <t>%,VR0272</t>
  </si>
  <si>
    <t>HOLMES ENDOWED FUND</t>
  </si>
  <si>
    <t>%,VR0273</t>
  </si>
  <si>
    <t>HORST ENDOWED FUND</t>
  </si>
  <si>
    <t>%,VR0274</t>
  </si>
  <si>
    <t>HEILSCHER ENDOWED FD</t>
  </si>
  <si>
    <t>%,VR0279</t>
  </si>
  <si>
    <t>KUMR ENDOW FUND</t>
  </si>
  <si>
    <t>%,VR0282</t>
  </si>
  <si>
    <t>MOELLER BRO ENDOW</t>
  </si>
  <si>
    <t>%,VR0283</t>
  </si>
  <si>
    <t>OMURTAG ENGR END FND</t>
  </si>
  <si>
    <t>%,VR0285</t>
  </si>
  <si>
    <t>REMMERS SPEC LEC ART</t>
  </si>
  <si>
    <t>%,VR0286</t>
  </si>
  <si>
    <t>JACKLING MIN IND FD</t>
  </si>
  <si>
    <t>%,VR0288</t>
  </si>
  <si>
    <t>MATHES PROF CIVIL EN</t>
  </si>
  <si>
    <t>%,VR0289</t>
  </si>
  <si>
    <t>MATTHEWS CANCER RES</t>
  </si>
  <si>
    <t>%,VR0291</t>
  </si>
  <si>
    <t>RUTLEDGE PROF</t>
  </si>
  <si>
    <t>%,VR0293</t>
  </si>
  <si>
    <t>MO SOYBEAN RES PROF</t>
  </si>
  <si>
    <t>%,VR0294</t>
  </si>
  <si>
    <t>SCHLUMBERGER PROF</t>
  </si>
  <si>
    <t>%,VR0296</t>
  </si>
  <si>
    <t>SCOTT-MORRIS AWARD</t>
  </si>
  <si>
    <t>%,VR0297</t>
  </si>
  <si>
    <t>SENNE FACULTY ACHIEV</t>
  </si>
  <si>
    <t>%,VR0298</t>
  </si>
  <si>
    <t>SHALLER END FUND</t>
  </si>
  <si>
    <t>%,VR0299</t>
  </si>
  <si>
    <t>SPHAR ENDOW MINING</t>
  </si>
  <si>
    <t>%,VR0300</t>
  </si>
  <si>
    <t>QUENON MO PROFESSOR</t>
  </si>
  <si>
    <t xml:space="preserve">    Other Student Fees</t>
  </si>
  <si>
    <t>%,LACTUALS,SYTD,FACCOUNT,TGASB_34_35,X,NSTUDENT AID</t>
  </si>
  <si>
    <t xml:space="preserve"> 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</si>
  <si>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</si>
  <si>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</si>
  <si>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</si>
  <si>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</si>
  <si>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</si>
  <si>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</si>
  <si>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</si>
  <si>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</si>
  <si>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</si>
  <si>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</si>
  <si>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</si>
  <si>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</si>
  <si>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</si>
  <si>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</si>
  <si>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</si>
  <si>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</si>
  <si>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</si>
  <si>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</si>
  <si>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 Total Federal Grants and Contracts</t>
  </si>
  <si>
    <t>%,V491000</t>
  </si>
  <si>
    <t>Grants - state</t>
  </si>
  <si>
    <t>%,V492000</t>
  </si>
  <si>
    <t>Grants - other gov't</t>
  </si>
  <si>
    <t>%,LACTUALS,SYTD,R,FACCOUNT,TGASB_34_35,X,NOTHER GOVT GRANTS,NSTATE GRANTS</t>
  </si>
  <si>
    <t>%,V493200</t>
  </si>
  <si>
    <t>Grants-businesses-cash</t>
  </si>
  <si>
    <t>%,V493300</t>
  </si>
  <si>
    <t>Grants-businesses-non cash</t>
  </si>
  <si>
    <t>%,V493600</t>
  </si>
  <si>
    <t>Grants-other foundations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</si>
  <si>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</si>
  <si>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</si>
  <si>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</si>
  <si>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</si>
  <si>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Auxiliary Enterprises -</t>
  </si>
  <si>
    <t xml:space="preserve">    Patient Care Facilities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</si>
  <si>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</si>
  <si>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</si>
  <si>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</si>
  <si>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</si>
  <si>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</si>
  <si>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</si>
  <si>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</si>
  <si>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</si>
  <si>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</si>
  <si>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</si>
  <si>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</si>
  <si>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</si>
  <si>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</si>
  <si>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</si>
  <si>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</si>
  <si>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</si>
  <si>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ROLLA</t>
  </si>
  <si>
    <t>Run Date:</t>
  </si>
  <si>
    <t>OPERATING EXPENSES BY OBJECT MATRIX</t>
  </si>
  <si>
    <t>PGASB09R</t>
  </si>
  <si>
    <t>Salary &amp; Wage</t>
  </si>
  <si>
    <t>Educational &amp; General  (A)</t>
  </si>
  <si>
    <t/>
  </si>
  <si>
    <t xml:space="preserve">    Instruction</t>
  </si>
  <si>
    <t xml:space="preserve">    Research</t>
  </si>
  <si>
    <t xml:space="preserve">    Public Service</t>
  </si>
  <si>
    <t xml:space="preserve">    Academic Support</t>
  </si>
  <si>
    <t xml:space="preserve">    Student Services  (B)</t>
  </si>
  <si>
    <t xml:space="preserve">    Institutional Support  ( C)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</si>
  <si>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</si>
  <si>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</si>
  <si>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</si>
  <si>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</si>
  <si>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 xml:space="preserve">    Auxiliary Enterprises  (E)</t>
  </si>
  <si>
    <t xml:space="preserve">        Total Current Funds Operating Expenses</t>
  </si>
  <si>
    <t>Loan Funds  (F)</t>
  </si>
  <si>
    <t xml:space="preserve">Endowment Funds  (F)  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</si>
  <si>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</si>
  <si>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</si>
  <si>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</si>
  <si>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</si>
  <si>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</si>
  <si>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</si>
  <si>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</si>
  <si>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</si>
  <si>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</si>
  <si>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</si>
  <si>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</si>
  <si>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</si>
  <si>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</si>
  <si>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</si>
  <si>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</si>
  <si>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PGASB10R</t>
  </si>
  <si>
    <t>2006</t>
  </si>
  <si>
    <t>Non-Operating</t>
  </si>
  <si>
    <t>Revenues,</t>
  </si>
  <si>
    <t>Expenditures &amp;</t>
  </si>
  <si>
    <t xml:space="preserve">Net Assets </t>
  </si>
  <si>
    <t>Revenues</t>
  </si>
  <si>
    <t>Expenses</t>
  </si>
  <si>
    <t>Transfers</t>
  </si>
  <si>
    <t>Auxiliaries:</t>
  </si>
  <si>
    <t>%,V0100</t>
  </si>
  <si>
    <t>Intercoll Athletics Auxiliary</t>
  </si>
  <si>
    <t>%,V0315</t>
  </si>
  <si>
    <t>Housing</t>
  </si>
  <si>
    <t>%,V0330</t>
  </si>
  <si>
    <t>Parking</t>
  </si>
  <si>
    <t>%,V0350</t>
  </si>
  <si>
    <t>University Centers</t>
  </si>
  <si>
    <t>%,V0360</t>
  </si>
  <si>
    <t>Other Student Auxiliaries</t>
  </si>
  <si>
    <t>%,V0470</t>
  </si>
  <si>
    <t>Golf Course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</si>
  <si>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</si>
  <si>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</si>
  <si>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</si>
  <si>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</si>
  <si>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</si>
  <si>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</si>
  <si>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</si>
  <si>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</si>
  <si>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</si>
  <si>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</si>
  <si>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</si>
  <si>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</si>
  <si>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%,FFUND_CODE,V0315</t>
  </si>
  <si>
    <t>%,FFUND_CODE,V0100</t>
  </si>
  <si>
    <t>%,FFUND_CODE,V0330</t>
  </si>
  <si>
    <t>STATEMENT OF REVENUES, EXPENSES AND CHANGES IN NET ASSETS - FOR SELECT AUXILIARY OPERATIONS</t>
  </si>
  <si>
    <t>Housing System</t>
  </si>
  <si>
    <t>Intercollegiate Athletics</t>
  </si>
  <si>
    <t>%,R,FACCOUNT,TGASB_34_35,X,NSTUDENT FEES,NSTUDENT AID</t>
  </si>
  <si>
    <t xml:space="preserve">    Student Fees</t>
  </si>
  <si>
    <t>%,V431600</t>
  </si>
  <si>
    <t>Non Taxable-hous room &amp; board</t>
  </si>
  <si>
    <t>431600</t>
  </si>
  <si>
    <t xml:space="preserve">    Sales and Services of Auxiliary and Education Activities</t>
  </si>
  <si>
    <t>%,R,FACCOUNT,TGASB_34_35,X,NOTHER OPERATING REV,NFEDERAL GRANTS,NINTEREST NOTES REC,NLOAN FUND DEDUCT,NOTHER GOVT GRANTS,NPATIENT MED SERV,NPRIVATE GRANTS,NSTATE GRANTS</t>
  </si>
  <si>
    <t>STATEMENT OF NET ASSETS</t>
  </si>
  <si>
    <t xml:space="preserve">STATEMENT OF REVENUES, EXPENSES AND CHANGES IN NET ASSETS </t>
  </si>
  <si>
    <t>STATEMENT OF CASH FLOWS</t>
  </si>
  <si>
    <t>%,VR0584</t>
  </si>
  <si>
    <t>WEISE SCHOLARSHIP FOR ACADEMIC</t>
  </si>
  <si>
    <t>%,VR0585</t>
  </si>
  <si>
    <t>2005 ACAD OF CE ENDOWED SCHOL</t>
  </si>
  <si>
    <t>%,VR0586</t>
  </si>
  <si>
    <t>Spence KA&amp;KD Endowed Schol</t>
  </si>
  <si>
    <t>%,VR0587</t>
  </si>
  <si>
    <t>Gale-Hufham Endowed Scholarshi</t>
  </si>
  <si>
    <t>%,VR0588</t>
  </si>
  <si>
    <t>MCGOVERN ENDOWED SCHOLARSHIP</t>
  </si>
  <si>
    <t>%,VR0589</t>
  </si>
  <si>
    <t>AECE ENDOWMENT FUND</t>
  </si>
  <si>
    <t>%,VR0590</t>
  </si>
  <si>
    <t>RW Abbett Endowed Chair CE</t>
  </si>
  <si>
    <t>%,VR0591</t>
  </si>
  <si>
    <t>Ron&amp;Janice Miller Endowed</t>
  </si>
  <si>
    <t>%,VR0594</t>
  </si>
  <si>
    <t>Unnerstall Endowed</t>
  </si>
  <si>
    <t>%,VR0597</t>
  </si>
  <si>
    <t>Schuster Endowed Scholarship</t>
  </si>
  <si>
    <t>%,VR0598</t>
  </si>
  <si>
    <t>St Louis Area Endowed</t>
  </si>
  <si>
    <t>%,VR0599</t>
  </si>
  <si>
    <t>Vitek Chair in BioCH</t>
  </si>
  <si>
    <t>%,VR0600</t>
  </si>
  <si>
    <t>DONALD&amp;ALWILDA P MATHEWS END-A</t>
  </si>
  <si>
    <t>%,VR0601</t>
  </si>
  <si>
    <t>DONALD&amp;ALWILDA P MATHEWS END-B</t>
  </si>
  <si>
    <t>%,VR0604</t>
  </si>
  <si>
    <t>OLGA E&amp;HERBERT HOFFMAN ENDOWED</t>
  </si>
  <si>
    <t>%,VR0605</t>
  </si>
  <si>
    <t>PHELPS COUNTY BANK ENDOWED SCH</t>
  </si>
  <si>
    <t>%,VR0606</t>
  </si>
  <si>
    <t>HASSELMANN RESEARCH ENDO</t>
  </si>
  <si>
    <t>%,VR0607</t>
  </si>
  <si>
    <t>MONTGOMERY PSYCOLOGY ENDOWED</t>
  </si>
  <si>
    <t>%,VR0608</t>
  </si>
  <si>
    <t>GRAINGER OUTSTANDING POWER ENG</t>
  </si>
  <si>
    <t>%,VR0609</t>
  </si>
  <si>
    <t>ACADEMY OF ENGINEERING MGMT EN</t>
  </si>
  <si>
    <t>%,VR0610</t>
  </si>
  <si>
    <t>BIPIN&amp;LINDA DOSHI ENDOWED SCHO</t>
  </si>
  <si>
    <t>%,VR0611</t>
  </si>
  <si>
    <t>THEODORE A RUPPERT ENDOWED</t>
  </si>
  <si>
    <t>%,VR0612</t>
  </si>
  <si>
    <t>SHANNON &amp; WILSON INC ENDOWED</t>
  </si>
  <si>
    <t>%,VR0613</t>
  </si>
  <si>
    <t>PHYSICS SCHOLARSHIP ACADEMIC</t>
  </si>
  <si>
    <t>%,VR0614</t>
  </si>
  <si>
    <t>DR RICHARD ANDERSON PHYSICS</t>
  </si>
  <si>
    <t>%,VR0615</t>
  </si>
  <si>
    <t>GERALD/AUDREY HUDDLESON</t>
  </si>
  <si>
    <t>%,VR0616</t>
  </si>
  <si>
    <t>KAPPA ALPHA ENDOWED-B</t>
  </si>
  <si>
    <t>%,VR0617</t>
  </si>
  <si>
    <t>LATZER PIKA SCHOLARSHIP ENDOW</t>
  </si>
  <si>
    <t>%,VR0618</t>
  </si>
  <si>
    <t>PHILIP AND DIANE WADE ENDOWED</t>
  </si>
  <si>
    <t>%,VR0619</t>
  </si>
  <si>
    <t>MICHAEL D BRATCHER ENDOWED</t>
  </si>
  <si>
    <t>%,VR0620</t>
  </si>
  <si>
    <t>CHILES-MONTGOMERY ENDOWED</t>
  </si>
  <si>
    <t>%,VR0621</t>
  </si>
  <si>
    <t>ANDREW J BAUM ENDOWED</t>
  </si>
  <si>
    <t>%,VR0622</t>
  </si>
  <si>
    <t>STUDENT DESIGN &amp; EXPERIENTIAL</t>
  </si>
  <si>
    <t>%,VR0623</t>
  </si>
  <si>
    <t>ROY&amp;PAT SHOURD ENDOWED ENG SCH</t>
  </si>
  <si>
    <t>%,VR0624</t>
  </si>
  <si>
    <t>ACCENTURE ENDOWED SCHOLARSHIP</t>
  </si>
  <si>
    <t>%,VR0625</t>
  </si>
  <si>
    <t>JERRY R BAYLESS ENDOWED SCHOLA</t>
  </si>
  <si>
    <t>%,VR0627</t>
  </si>
  <si>
    <t>VOJTA  ENDOWED DEVELOPMENT FND</t>
  </si>
  <si>
    <t>%,VR0628</t>
  </si>
  <si>
    <t>MIMI AND LEE POWELL ENDOWED</t>
  </si>
  <si>
    <t>%,VR0629</t>
  </si>
  <si>
    <t>BALDETTI ENDOWED SCHOLARSHIP</t>
  </si>
  <si>
    <t>%,VR0630</t>
  </si>
  <si>
    <t>JACKLING JOCKS ENDOWED SCHOLAR</t>
  </si>
  <si>
    <t>%,VR0631</t>
  </si>
  <si>
    <t>KENNETH WOOD ENDOWED SCHOLARSH</t>
  </si>
  <si>
    <t>%,VR0632</t>
  </si>
  <si>
    <t>JACK&amp;FRAN MORRIS ENDOWED</t>
  </si>
  <si>
    <t>%,VR0633</t>
  </si>
  <si>
    <t>MARIESA CROW &amp; JAMES  DRANIAK</t>
  </si>
  <si>
    <t>%,VR0634</t>
  </si>
  <si>
    <t>DENNIS AND SUE PARKER ENDOWED</t>
  </si>
  <si>
    <t>%,VR0635</t>
  </si>
  <si>
    <t>Depreciation</t>
  </si>
  <si>
    <t>As of June 30, 2006 and 2005</t>
  </si>
  <si>
    <t>Prepaid Expenses and Other Current Assets</t>
  </si>
  <si>
    <t>Expendable</t>
  </si>
  <si>
    <t>Invested in Capital Assets, Net of Related Debt</t>
  </si>
  <si>
    <t>Tuition and Fees</t>
  </si>
  <si>
    <t>For the Years Ended June 30, 2006 and 2005</t>
  </si>
  <si>
    <t>Payments to Suppliers</t>
  </si>
  <si>
    <t>Payments to Employees</t>
  </si>
  <si>
    <t>Current Pledges Receivable, net</t>
  </si>
  <si>
    <t>Pledges Receivable, net</t>
  </si>
  <si>
    <t>Capital Assets, net</t>
  </si>
  <si>
    <t>Deferred Revenue</t>
  </si>
  <si>
    <t>Less:  Scholarship Allowances</t>
  </si>
  <si>
    <t>Salaries and Wages</t>
  </si>
  <si>
    <t>Nonexpendable</t>
  </si>
  <si>
    <t>Income (Loss) after State Appropriations, before Nonoperating</t>
  </si>
  <si>
    <t xml:space="preserve">    Revenues (Expenses) and Transfers</t>
  </si>
  <si>
    <t>Income before Capital Contributions and Additions to Permanent Endowments</t>
  </si>
  <si>
    <t>Increase (Decrease) in Net Assets</t>
  </si>
  <si>
    <t xml:space="preserve"> </t>
  </si>
  <si>
    <t>%,ATF,FDESCR,UDESCR</t>
  </si>
  <si>
    <t>%,C</t>
  </si>
  <si>
    <t>University of Missouri - Rolla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</si>
  <si>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</si>
  <si>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</si>
  <si>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</si>
  <si>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</si>
  <si>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</si>
  <si>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</si>
  <si>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</si>
  <si>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Notes Receivable, net</t>
  </si>
  <si>
    <t>Inventories</t>
  </si>
  <si>
    <t xml:space="preserve">          Total Current Assets</t>
  </si>
  <si>
    <t>Noncurrent Assets:</t>
  </si>
  <si>
    <t>Notes Receivable, net</t>
  </si>
  <si>
    <t>Long Term Investments</t>
  </si>
  <si>
    <t xml:space="preserve">          Total Noncurrent Assets</t>
  </si>
  <si>
    <t>Liabilities</t>
  </si>
  <si>
    <t>Current Liabilities:</t>
  </si>
  <si>
    <t>Accounts Payable</t>
  </si>
  <si>
    <t>Accrued Liabilities</t>
  </si>
  <si>
    <t>{C}</t>
  </si>
  <si>
    <t>Funds Held for Others</t>
  </si>
  <si>
    <t>{D}</t>
  </si>
  <si>
    <t>Collateral for Securities on Loan</t>
  </si>
  <si>
    <t>Bonds and Notes Payable, current</t>
  </si>
  <si>
    <t xml:space="preserve">          Total Current Liabilities</t>
  </si>
  <si>
    <t>Noncurrent Liabilities:</t>
  </si>
  <si>
    <t xml:space="preserve">          Total Noncurrent Liabilities</t>
  </si>
  <si>
    <t>Net Assets</t>
  </si>
  <si>
    <t>Restricted: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</si>
  <si>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</si>
  <si>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</si>
  <si>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</si>
  <si>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</si>
  <si>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Operating Revenues: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</si>
  <si>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</si>
  <si>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</si>
  <si>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</si>
  <si>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</si>
  <si>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</si>
  <si>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</si>
  <si>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</si>
  <si>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</si>
  <si>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</si>
  <si>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Staff Benefits</t>
  </si>
  <si>
    <t>Supplies, Services and Other Operating Expenses</t>
  </si>
  <si>
    <t>Scholarships and Fellowships</t>
  </si>
  <si>
    <t>State Appropriations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</si>
  <si>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</si>
  <si>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</si>
  <si>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</si>
  <si>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</si>
  <si>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</si>
  <si>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</si>
  <si>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>State Capital Appropriations and State Bond Funds</t>
  </si>
  <si>
    <t>Capital Gifts and Grants</t>
  </si>
  <si>
    <t>Private Gifts for Endowment Purposes</t>
  </si>
  <si>
    <t>Mandatory Transfers In (Out)</t>
  </si>
  <si>
    <t>Non Mandatory Transfers In (Out)</t>
  </si>
  <si>
    <t>Intra Fund Transfers In (Out)</t>
  </si>
  <si>
    <t>Net Assets, Beginning of Year</t>
  </si>
  <si>
    <t>Net Assets, End of Year</t>
  </si>
  <si>
    <t>Cash Flows from Operating Activities:</t>
  </si>
  <si>
    <t>Federal, State and Private Grants and Contracts</t>
  </si>
  <si>
    <t>Sales and Services of Educational Activities and Other Auxiliaries</t>
  </si>
  <si>
    <t>Student Housing Fees</t>
  </si>
  <si>
    <t>Payments for Benefits</t>
  </si>
  <si>
    <t>Payments for Scholarships and Fellowships</t>
  </si>
  <si>
    <t>Student Loans Issued</t>
  </si>
  <si>
    <t>Student Loans Collected</t>
  </si>
  <si>
    <t>Student Loan Interest and Fees</t>
  </si>
  <si>
    <t>Other Receipts, net</t>
  </si>
  <si>
    <t>Net Cash Used in Operating Activities</t>
  </si>
  <si>
    <t>Cash Flows from Investing Activities:</t>
  </si>
  <si>
    <t>Interest and Dividends on Investments</t>
  </si>
  <si>
    <t>Purchase of Investments, net of Sales and Maturities</t>
  </si>
  <si>
    <t>Net Cash Provided by (Used In) Investing Activities</t>
  </si>
  <si>
    <t>Cash Flows from Capital and Related Financing Activities:</t>
  </si>
  <si>
    <t>Capital State Appropriations</t>
  </si>
  <si>
    <t>Proceeds from Sales of Capital Assets</t>
  </si>
  <si>
    <t>Purchase of Capital Assets</t>
  </si>
  <si>
    <t>Proceeds from Issuance of Capital Debt, net</t>
  </si>
  <si>
    <t>Principal Payments on Capital Debt</t>
  </si>
  <si>
    <t>Escrow Deposit on Defeasance</t>
  </si>
  <si>
    <t>Payments on Cost of Debt Issuance</t>
  </si>
  <si>
    <t>Interest Payments on Capital Debt</t>
  </si>
  <si>
    <t>Net Cash Provided by (Used in) Capital and Related Financing Activities</t>
  </si>
  <si>
    <t>Cash Flows from Noncapital Financing Activities:</t>
  </si>
  <si>
    <t>State Educational Appropriations</t>
  </si>
  <si>
    <t>Endowment and Similar Funds Gifts</t>
  </si>
  <si>
    <t>Other Noncapital Receipts, including Net Transfers</t>
  </si>
  <si>
    <t>Deposits of Affiliates</t>
  </si>
  <si>
    <t>Net Cash Provided by Noncapital Financing Activities</t>
  </si>
  <si>
    <t>Net Increase (Decrease) in Cash and Cash Equivalents</t>
  </si>
  <si>
    <t>Cash and Cash Equivalents, Beginning of Year</t>
  </si>
  <si>
    <t>Cash and Cash Equivalents, End of Year</t>
  </si>
  <si>
    <t xml:space="preserve">Reconciliation of Operating Income (Loss) to Net Cash </t>
  </si>
  <si>
    <t>Provided by (Used in) Operating Activities:</t>
  </si>
  <si>
    <t>Operating Income (Loss)</t>
  </si>
  <si>
    <t xml:space="preserve">Adjustments to Reconcile Operating Income (Loss) to Net Cash </t>
  </si>
  <si>
    <t>Depreciation Expense</t>
  </si>
  <si>
    <t>Changes in Assets and Liabilities:</t>
  </si>
  <si>
    <t xml:space="preserve">     Accounts Receivable, Net</t>
  </si>
  <si>
    <t xml:space="preserve">     Inventory, Prepaid Expenses and Other Assets</t>
  </si>
  <si>
    <t xml:space="preserve">     Notes Receivable</t>
  </si>
  <si>
    <t xml:space="preserve">     Accounts Payable</t>
  </si>
  <si>
    <t xml:space="preserve">     Accrued Liabilities</t>
  </si>
  <si>
    <t xml:space="preserve">    Deferred Revenue</t>
  </si>
  <si>
    <t>Net Cash Provided by (Used in) Operating Activities</t>
  </si>
  <si>
    <t>Deferred Charges and Other Assets</t>
  </si>
  <si>
    <t>Bonds and Notes Payable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</si>
  <si>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</si>
  <si>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</si>
  <si>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</si>
  <si>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              Total Liabilities and Net Assets</t>
  </si>
  <si>
    <t xml:space="preserve">        Total Operating Revenues</t>
  </si>
  <si>
    <t xml:space="preserve">        Total Operating Expenses</t>
  </si>
  <si>
    <t xml:space="preserve">        Net Nonoperating Revenues (Expenses) </t>
  </si>
  <si>
    <t xml:space="preserve">    Housing and Dining Services</t>
  </si>
  <si>
    <t xml:space="preserve">    Bookstores</t>
  </si>
  <si>
    <t xml:space="preserve">    Other Auxilliary Enterprises</t>
  </si>
  <si>
    <t>Unrestricted</t>
  </si>
  <si>
    <t>R8506</t>
  </si>
  <si>
    <t>%,VR8508</t>
  </si>
  <si>
    <t>MECH ENGR ADDITION/RENOVATION</t>
  </si>
  <si>
    <t>R8508</t>
  </si>
  <si>
    <t>%,VR8509</t>
  </si>
  <si>
    <t>GALE BULLMAN BLEACHER REPLMENT</t>
  </si>
  <si>
    <t>R8509</t>
  </si>
  <si>
    <t>%,VR8510</t>
  </si>
  <si>
    <t>FACILITY PROJECTS</t>
  </si>
  <si>
    <t>R8510</t>
  </si>
  <si>
    <t>%,VR8511</t>
  </si>
  <si>
    <t>RENOVATION  CHANCELLOR'S RESID</t>
  </si>
  <si>
    <t>R8511</t>
  </si>
  <si>
    <t>%,VR8512</t>
  </si>
  <si>
    <t>SOCCER FIELD DESIGN</t>
  </si>
  <si>
    <t>R8512</t>
  </si>
  <si>
    <t>%,VR8611</t>
  </si>
  <si>
    <t>HAVENER CENTER ASSOCIATED PROJ</t>
  </si>
  <si>
    <t>R8611</t>
  </si>
  <si>
    <t>%,FPROGRAM_CODE,X,_,FFUND_CODE,TGASB_34_35_FUND,NUNEXP_RANDR_RESTEXP</t>
  </si>
  <si>
    <t xml:space="preserve">    TOTAL RESTRICTED</t>
  </si>
  <si>
    <t>%,VR8600</t>
  </si>
  <si>
    <t>FRAT SITE DEV</t>
  </si>
  <si>
    <t>R8600</t>
  </si>
  <si>
    <t>%,VR8615</t>
  </si>
  <si>
    <t>PARKING LOT DEV- SOOTER PROP</t>
  </si>
  <si>
    <t>R8615</t>
  </si>
  <si>
    <t>%,VR8616</t>
  </si>
  <si>
    <t>RENOVATION PROJECTS @MCNUTT</t>
  </si>
  <si>
    <t>R8616</t>
  </si>
  <si>
    <t>%,VR8617</t>
  </si>
  <si>
    <t>RENOVATION OF ALTMAN HALL</t>
  </si>
  <si>
    <t>R8617</t>
  </si>
  <si>
    <t>%,VR8732</t>
  </si>
  <si>
    <t>SAMPLES CHAR RESERVE</t>
  </si>
  <si>
    <t>R8732</t>
  </si>
  <si>
    <t>%,VR8739</t>
  </si>
  <si>
    <t>RESERVE-ACAD COMP EQUIP</t>
  </si>
  <si>
    <t>R8739</t>
  </si>
  <si>
    <t>%,VR8740</t>
  </si>
  <si>
    <t>RESERVE-INFO TECH EQUIP REPL</t>
  </si>
  <si>
    <t>R8740</t>
  </si>
  <si>
    <t>%,VR8743</t>
  </si>
  <si>
    <t>SPEC REMODELING PROJ</t>
  </si>
  <si>
    <t>R8743</t>
  </si>
  <si>
    <t>%,VR8744</t>
  </si>
  <si>
    <t>PROPERTY PURCHASE</t>
  </si>
  <si>
    <t>R8744</t>
  </si>
  <si>
    <t>%,VR8745</t>
  </si>
  <si>
    <t>RESERVE-CBX REPLACEMENT</t>
  </si>
  <si>
    <t>R8745</t>
  </si>
  <si>
    <t>%,VR8768</t>
  </si>
  <si>
    <t>PRINTING EQUIPMENT RESERVE</t>
  </si>
  <si>
    <t>R8768</t>
  </si>
  <si>
    <t>%,VR8769</t>
  </si>
  <si>
    <t>MAIL EQUIPMENT RESERVE</t>
  </si>
  <si>
    <t>R8769</t>
  </si>
  <si>
    <t>%,VR8770</t>
  </si>
  <si>
    <t>UNIV DR ENHANCEMENTS</t>
  </si>
  <si>
    <t>R8770</t>
  </si>
  <si>
    <t>%,VR8771</t>
  </si>
  <si>
    <t>RENOVATION OF UNIV CTR E</t>
  </si>
  <si>
    <t>R8771</t>
  </si>
  <si>
    <t>%,VR8773</t>
  </si>
  <si>
    <t>CONNECTION OF LOT 37&amp;38</t>
  </si>
  <si>
    <t>R8773</t>
  </si>
  <si>
    <t>%,VR8774</t>
  </si>
  <si>
    <t>MACE HOUSE DEMO</t>
  </si>
  <si>
    <t>R8774</t>
  </si>
  <si>
    <t>%,VR8775</t>
  </si>
  <si>
    <t>GROUNDS &amp; CUSTODIAL FACILITY</t>
  </si>
  <si>
    <t>R8775</t>
  </si>
  <si>
    <t>%,VR8776</t>
  </si>
  <si>
    <t>HIGHWAY 63 STATE ST ROADWAY</t>
  </si>
  <si>
    <t>R8776</t>
  </si>
  <si>
    <t>%,VR8777</t>
  </si>
  <si>
    <t>RES HALL #1 COSTS OF DELAY</t>
  </si>
  <si>
    <t>R8777</t>
  </si>
  <si>
    <t>%,VR8778</t>
  </si>
  <si>
    <t>RENOVATION OF CHANCELLORS RESI</t>
  </si>
  <si>
    <t>R8778</t>
  </si>
  <si>
    <t>%,VR8780</t>
  </si>
  <si>
    <t>RENNOVATION CHANCELLOR COMPLEX</t>
  </si>
  <si>
    <t>R8780</t>
  </si>
  <si>
    <t>%,VR8781</t>
  </si>
  <si>
    <t>RENOVATION PROJECT TJ HALL</t>
  </si>
  <si>
    <t>R8781</t>
  </si>
  <si>
    <t>%,VR8782</t>
  </si>
  <si>
    <t>RENOVATE PUBLIC RELATIONS AREA</t>
  </si>
  <si>
    <t>R8782</t>
  </si>
  <si>
    <t>%,VR9001</t>
  </si>
  <si>
    <t>HOUSING CAPITAL POOL</t>
  </si>
  <si>
    <t>R9001</t>
  </si>
  <si>
    <t>%,VR9002</t>
  </si>
  <si>
    <t>PHYSICAL REC CTR - CAP POOL</t>
  </si>
  <si>
    <t>R9002</t>
  </si>
  <si>
    <t>%,VR9003</t>
  </si>
  <si>
    <t>PARKING - CAPTIAL POOL</t>
  </si>
  <si>
    <t>R9003</t>
  </si>
  <si>
    <t>%,VR9004</t>
  </si>
  <si>
    <t>GOLF COURSE - CAP POOL</t>
  </si>
  <si>
    <t>R9004</t>
  </si>
  <si>
    <t>%,VR9005</t>
  </si>
  <si>
    <t>RESIDENCE HALL #1 - CAP POOL</t>
  </si>
  <si>
    <t>R9005</t>
  </si>
  <si>
    <t>%,VR9006</t>
  </si>
  <si>
    <t>HAVENER CENTER - CAP POOL</t>
  </si>
  <si>
    <t>R9006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</si>
  <si>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</si>
  <si>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</si>
  <si>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</si>
  <si>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</si>
  <si>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</si>
  <si>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2005</t>
  </si>
  <si>
    <t>July 01, 2005</t>
  </si>
  <si>
    <t>Deletions</t>
  </si>
  <si>
    <t>Capital Assets:</t>
  </si>
  <si>
    <t>%,FACCOUNT,V173000,V174000</t>
  </si>
  <si>
    <t xml:space="preserve">     Building</t>
  </si>
  <si>
    <t>%,FACCOUNT,V171000</t>
  </si>
  <si>
    <t xml:space="preserve">     Land</t>
  </si>
  <si>
    <t>%,FACCOUNT,V172000</t>
  </si>
  <si>
    <t xml:space="preserve">     Infrastructure</t>
  </si>
  <si>
    <t>%,FACCOUNT,V175000</t>
  </si>
  <si>
    <t xml:space="preserve">     Equipment</t>
  </si>
  <si>
    <t>%,FACCOUNT,V177000</t>
  </si>
  <si>
    <t xml:space="preserve">     Livestock</t>
  </si>
  <si>
    <t>%,FACCOUNT,V179000</t>
  </si>
  <si>
    <t xml:space="preserve">     Art &amp; Museum Objects</t>
  </si>
  <si>
    <t>%,FACCOUNT,V176000</t>
  </si>
  <si>
    <t xml:space="preserve">     Library Books</t>
  </si>
  <si>
    <t>%,FACCOUNT,V178000</t>
  </si>
  <si>
    <t xml:space="preserve">     Construction In Progress</t>
  </si>
  <si>
    <t xml:space="preserve">        Total Capital Assets</t>
  </si>
  <si>
    <t>Less Accumulated Depreciation:</t>
  </si>
  <si>
    <t>%,FACCOUNT,V173900,V174900</t>
  </si>
  <si>
    <t>Building</t>
  </si>
  <si>
    <t>%,FACCOUNT,V172900</t>
  </si>
  <si>
    <t>%,FACCOUNT,V176900</t>
  </si>
  <si>
    <t>Library Books</t>
  </si>
  <si>
    <t>%,FACCOUNT,V175900</t>
  </si>
  <si>
    <t>Equipment</t>
  </si>
  <si>
    <t xml:space="preserve">        Total Accumulated Depreciation</t>
  </si>
  <si>
    <t xml:space="preserve">            Total Investment in Plant Capital Assets, Net</t>
  </si>
  <si>
    <t xml:space="preserve">University of Missouri - Rolla                                                           </t>
  </si>
  <si>
    <t xml:space="preserve">               </t>
  </si>
  <si>
    <t xml:space="preserve">BONDS AND NOTES PAYABLE </t>
  </si>
  <si>
    <t>As of June 30, 2006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</si>
  <si>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</si>
  <si>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</si>
  <si>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</si>
  <si>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</si>
  <si>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</si>
  <si>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>Amortization</t>
  </si>
  <si>
    <t xml:space="preserve">Bonds Payable:                                                 </t>
  </si>
  <si>
    <t xml:space="preserve"> System Facilities Revenue Bond Dated June, 2002,</t>
  </si>
  <si>
    <t xml:space="preserve">   Series 2002a Variable Interest Rate, Due November 2032</t>
  </si>
  <si>
    <t xml:space="preserve"> System Facilities Revenue Bond Dated November, 2003,</t>
  </si>
  <si>
    <t xml:space="preserve">   Series 2003a Fixed Interest Rate  4% to 5%, Due November 2031</t>
  </si>
  <si>
    <t xml:space="preserve">   Series 2003b Fixed Interest Rate  2% to 4.6%, Due November 2031</t>
  </si>
  <si>
    <t xml:space="preserve">        Less Unamortized Premium/Discount</t>
  </si>
  <si>
    <t xml:space="preserve">        Less Loss on Defeasance</t>
  </si>
  <si>
    <t xml:space="preserve">            Total Bonds Payable                                     </t>
  </si>
  <si>
    <t>%,LACTUALS,SBAL</t>
  </si>
  <si>
    <t>%,AFT,FDEPTID</t>
  </si>
  <si>
    <t>%,LACTUALS,SBAL,R,FACCOUNT,V300000</t>
  </si>
  <si>
    <t>%,QUGL_GASB_AGENCY_REVENUES,CA.POSTED_TOTAL_AMT,SYTD,R</t>
  </si>
  <si>
    <t>%,QUGL_GASB_AGENCY_EXPENSES,CA.POSTED_TOTAL_AMT,SYTD</t>
  </si>
  <si>
    <t>GASB19R</t>
  </si>
  <si>
    <t>FUNDS HELD FOR OTHERS</t>
  </si>
  <si>
    <t>AGENCY</t>
  </si>
  <si>
    <t>Department Description</t>
  </si>
  <si>
    <t>Hide Column in final report - DEPTID</t>
  </si>
  <si>
    <t>Balance
July 1, 2005</t>
  </si>
  <si>
    <t>Deposits</t>
  </si>
  <si>
    <t>Withdrawals</t>
  </si>
  <si>
    <t>Balance
June 30, 2006</t>
  </si>
  <si>
    <t>%,VR1001040</t>
  </si>
  <si>
    <t>ANNUAL AAAA CONFERENCE</t>
  </si>
  <si>
    <t>R1001040</t>
  </si>
  <si>
    <t>%,VR2006013</t>
  </si>
  <si>
    <t>MISSOURI COLLEGE GUARANTEE PRO</t>
  </si>
  <si>
    <t>R2006013</t>
  </si>
  <si>
    <t>%,VR2006018</t>
  </si>
  <si>
    <t>AGENCY SCH FUND FY 01-02</t>
  </si>
  <si>
    <t>R2006018</t>
  </si>
  <si>
    <t>%,VR2006020</t>
  </si>
  <si>
    <t>FORD DIRECT LOAN FY 96-97</t>
  </si>
  <si>
    <t>R2006020</t>
  </si>
  <si>
    <t>%,VR2006021</t>
  </si>
  <si>
    <t>MISSOURI BRIGHT FLIGHT SCH</t>
  </si>
  <si>
    <t>R2006021</t>
  </si>
  <si>
    <t>%,VR2006022</t>
  </si>
  <si>
    <t>MISSOURI GALLAGHER GRANT</t>
  </si>
  <si>
    <t>R2006022</t>
  </si>
  <si>
    <t>%,VR2006023</t>
  </si>
  <si>
    <t>MISSOURI BRIDGE SCHOLARSHIP</t>
  </si>
  <si>
    <t>R2006023</t>
  </si>
  <si>
    <t>%,VR2006026</t>
  </si>
  <si>
    <t>ADM &amp; STUDENT FIN AID ENDOW FD</t>
  </si>
  <si>
    <t>R2006026</t>
  </si>
  <si>
    <t>%,VR2006056</t>
  </si>
  <si>
    <t>GEAR UP PLUS</t>
  </si>
  <si>
    <t>R2006056</t>
  </si>
  <si>
    <t>%,VR2006057</t>
  </si>
  <si>
    <t>FORD FEDERAL DIRECT LOAN 02-03</t>
  </si>
  <si>
    <t>R2006057</t>
  </si>
  <si>
    <t>%,VR2006058</t>
  </si>
  <si>
    <t>PLUS LOAN</t>
  </si>
  <si>
    <t>R2006058</t>
  </si>
  <si>
    <t>%,VR2006060</t>
  </si>
  <si>
    <t>FORD FEDERAL DIRECT STUDENT</t>
  </si>
  <si>
    <t>R2006060</t>
  </si>
  <si>
    <t>%,VR2006061</t>
  </si>
  <si>
    <t>PLUS LOAN-FY 03/04</t>
  </si>
  <si>
    <t>R2006061</t>
  </si>
  <si>
    <t>%,VR2006062</t>
  </si>
  <si>
    <t>MSM/UMR ALUMNI SCHOLARSHIP</t>
  </si>
  <si>
    <t>R2006062</t>
  </si>
  <si>
    <t>%,VR2006065</t>
  </si>
  <si>
    <t>AGENCY SCHOLARSHIPS 2004-2005</t>
  </si>
  <si>
    <t>R2006065</t>
  </si>
  <si>
    <t>%,VR2006066</t>
  </si>
  <si>
    <t>FORD FED DIRECT STU LOAN 04-05</t>
  </si>
  <si>
    <t>R2006066</t>
  </si>
  <si>
    <t>%,VR2006067</t>
  </si>
  <si>
    <t>PLUS LOANS 2004-2005</t>
  </si>
  <si>
    <t>R2006067</t>
  </si>
  <si>
    <t>%,VR2006076</t>
  </si>
  <si>
    <t>AGENCY SCHOLARSHIPS 2005/2006</t>
  </si>
  <si>
    <t>R2006076</t>
  </si>
  <si>
    <t>%,VR2006078</t>
  </si>
  <si>
    <t>PLUS LOAN 2005/2006</t>
  </si>
  <si>
    <t>R2006078</t>
  </si>
  <si>
    <t>%,VR2006079</t>
  </si>
  <si>
    <t>FORD FEDERAL DIRECT FY 05/06</t>
  </si>
  <si>
    <t>R2006079</t>
  </si>
  <si>
    <t>%,VR3002005</t>
  </si>
  <si>
    <t>METER KEY DEPOSIT</t>
  </si>
  <si>
    <t>R3002005</t>
  </si>
  <si>
    <t>%,VR4000033</t>
  </si>
  <si>
    <t>SCH OF M&amp;M ACADEMY</t>
  </si>
  <si>
    <t>R4000033</t>
  </si>
  <si>
    <t>%,VR4005055</t>
  </si>
  <si>
    <t>GEOLOGY &amp; GEOPHYSICS KEY DEPOS</t>
  </si>
  <si>
    <t>R4005055</t>
  </si>
  <si>
    <t>%,VR4005079</t>
  </si>
  <si>
    <t>EIFERT RESEARCH FUNDS-AMER ASS</t>
  </si>
  <si>
    <t>R4005079</t>
  </si>
  <si>
    <t>%,VR4006054</t>
  </si>
  <si>
    <t>KEY DEPOSITS-METALLURGY</t>
  </si>
  <si>
    <t>R4006054</t>
  </si>
  <si>
    <t>%,VR4007040</t>
  </si>
  <si>
    <t>AMERICAN NUCLEAR SOCIETY NUCLE</t>
  </si>
  <si>
    <t>R4007040</t>
  </si>
  <si>
    <t>%,VR4011010</t>
  </si>
  <si>
    <t>MSE KEY DEPOSIT</t>
  </si>
  <si>
    <t>R4011010</t>
  </si>
  <si>
    <t>%,VR4013010</t>
  </si>
  <si>
    <t>LASCO GEOLOGICAL SOCIETY</t>
  </si>
  <si>
    <t>R4013010</t>
  </si>
  <si>
    <t>%,VR5002001</t>
  </si>
  <si>
    <t>CIVIL ENGINEERING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</si>
  <si>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</si>
  <si>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</si>
  <si>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</si>
  <si>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</si>
  <si>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%,V231000</t>
  </si>
  <si>
    <t>Def rev-student fees</t>
  </si>
  <si>
    <t>231000</t>
  </si>
  <si>
    <t>%,V232000</t>
  </si>
  <si>
    <t>Def rev-room &amp; board</t>
  </si>
  <si>
    <t>232000</t>
  </si>
  <si>
    <t>%,V233000</t>
  </si>
  <si>
    <t>Def rev - other</t>
  </si>
  <si>
    <t>233000</t>
  </si>
  <si>
    <t>%,V234000</t>
  </si>
  <si>
    <t>Deferred Revenue - Grants</t>
  </si>
  <si>
    <t>234000</t>
  </si>
  <si>
    <t>%,R,FACCOUNT,TGASB_34_35,X,NDEFERRED_REV</t>
  </si>
  <si>
    <t>Deferred Revenue, Current</t>
  </si>
  <si>
    <t>%,V226000</t>
  </si>
  <si>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</si>
  <si>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</si>
  <si>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</si>
  <si>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</si>
  <si>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</si>
  <si>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</si>
  <si>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</si>
  <si>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</si>
  <si>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</si>
  <si>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</si>
  <si>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</si>
  <si>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</si>
  <si>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</si>
  <si>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</si>
  <si>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</si>
  <si>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</si>
  <si>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</si>
  <si>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</si>
  <si>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</si>
  <si>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</si>
  <si>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</si>
  <si>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</si>
  <si>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%,V162000</t>
  </si>
  <si>
    <t>(Premium)/Discount Bd Payable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</si>
  <si>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</si>
  <si>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</si>
  <si>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</si>
  <si>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</si>
  <si>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</si>
  <si>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</si>
  <si>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</si>
  <si>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</si>
  <si>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</si>
  <si>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</si>
  <si>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</si>
  <si>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</si>
  <si>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</si>
  <si>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</si>
  <si>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</si>
  <si>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</si>
  <si>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</si>
  <si>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</si>
  <si>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%,QKRDJ_UGL_GASB_35_FIN_STMTS,CA.POSTED_TOTAL_AMT,SYTD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</si>
  <si>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</si>
  <si>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</si>
  <si>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</si>
  <si>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</si>
  <si>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</si>
  <si>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</si>
  <si>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</si>
  <si>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</si>
  <si>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</si>
  <si>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</si>
  <si>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</si>
  <si>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</si>
  <si>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</si>
  <si>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</si>
  <si>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</si>
  <si>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</si>
  <si>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</si>
  <si>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</si>
  <si>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%,V760400</t>
  </si>
  <si>
    <t>Graduate  non-resident</t>
  </si>
  <si>
    <t>760400</t>
  </si>
  <si>
    <t>%,V761000</t>
  </si>
  <si>
    <t>Graduate fee waivers non res</t>
  </si>
  <si>
    <t>761000</t>
  </si>
  <si>
    <t>%,V762000</t>
  </si>
  <si>
    <t>Room and Board Waivers</t>
  </si>
  <si>
    <t>762000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</si>
  <si>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</si>
  <si>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</si>
  <si>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</si>
  <si>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</si>
  <si>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</si>
  <si>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%,V420100</t>
  </si>
  <si>
    <t>Taxable Primary sales aux/educ</t>
  </si>
  <si>
    <t>420100</t>
  </si>
  <si>
    <t>%,V430000</t>
  </si>
  <si>
    <t>Non Taxable sales</t>
  </si>
  <si>
    <t>430000</t>
  </si>
  <si>
    <t>%,V431200</t>
  </si>
  <si>
    <t>Non Taxable-conference revenue</t>
  </si>
  <si>
    <t>431200</t>
  </si>
  <si>
    <t>%,V431400</t>
  </si>
  <si>
    <t>Non Taxable-department charges</t>
  </si>
  <si>
    <t>431400</t>
  </si>
  <si>
    <t>%,V432200</t>
  </si>
  <si>
    <t>Non Taxable-user fees</t>
  </si>
  <si>
    <t>432200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</si>
  <si>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</si>
  <si>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</si>
  <si>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</si>
  <si>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</si>
  <si>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</si>
  <si>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</si>
  <si>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</si>
  <si>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</si>
  <si>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</si>
  <si>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%,V440100</t>
  </si>
  <si>
    <t>Interest cxld-total cancell</t>
  </si>
  <si>
    <t>440100</t>
  </si>
  <si>
    <t>%,V440200</t>
  </si>
  <si>
    <t>Interest notes rec - collected</t>
  </si>
  <si>
    <t>440200</t>
  </si>
  <si>
    <t>%,V441000</t>
  </si>
  <si>
    <t>Principal-not rec-teach canc&gt;</t>
  </si>
  <si>
    <t>441000</t>
  </si>
  <si>
    <t>%,V441400</t>
  </si>
  <si>
    <t>Principal-notes rec-nurse/medt</t>
  </si>
  <si>
    <t>441400</t>
  </si>
  <si>
    <t>%,V891100</t>
  </si>
  <si>
    <t>Prin cancell-death-fed loans</t>
  </si>
  <si>
    <t>891100</t>
  </si>
  <si>
    <t>%,V891200</t>
  </si>
  <si>
    <t>Prin cancellation-disability</t>
  </si>
  <si>
    <t>891200</t>
  </si>
  <si>
    <t>%,V891400</t>
  </si>
  <si>
    <t>Prin canc-univ loan bad debt</t>
  </si>
  <si>
    <t>891400</t>
  </si>
  <si>
    <t>%,V891900</t>
  </si>
  <si>
    <t>Prin cancel-teacher &gt;7/1/72</t>
  </si>
  <si>
    <t>891900</t>
  </si>
  <si>
    <t>%,V892200</t>
  </si>
  <si>
    <t>Prin canc-teacher-certain sub</t>
  </si>
  <si>
    <t>892200</t>
  </si>
  <si>
    <t>%,V892300</t>
  </si>
  <si>
    <t>Prin cancel-nurse/med tech</t>
  </si>
  <si>
    <t>892300</t>
  </si>
  <si>
    <t>%,V892700</t>
  </si>
  <si>
    <t>Interest cancellation-disabili</t>
  </si>
  <si>
    <t>892700</t>
  </si>
  <si>
    <t>%,V893100</t>
  </si>
  <si>
    <t>Principal cancel-military</t>
  </si>
  <si>
    <t>893100</t>
  </si>
  <si>
    <t>%,R,FACCOUNT,TGASB_34_35,X,NINTEREST NOTES REC,NLOAN FUND DEDUCT</t>
  </si>
  <si>
    <t>%,V494001</t>
  </si>
  <si>
    <t>Misc Revenue</t>
  </si>
  <si>
    <t>494001</t>
  </si>
  <si>
    <t>%,V494100</t>
  </si>
  <si>
    <t>Misc Revenue-tax primary Loc</t>
  </si>
  <si>
    <t>494100</t>
  </si>
  <si>
    <t>%,V494500</t>
  </si>
  <si>
    <t>Misc Revenue-tax non-prim loc</t>
  </si>
  <si>
    <t>494500</t>
  </si>
  <si>
    <t>%,V495000</t>
  </si>
  <si>
    <t>Misc Revenue-non taxable</t>
  </si>
  <si>
    <t>495000</t>
  </si>
  <si>
    <t>%,V495050</t>
  </si>
  <si>
    <t>Royalties</t>
  </si>
  <si>
    <t>495050</t>
  </si>
  <si>
    <t>%,V495300</t>
  </si>
  <si>
    <t>Non tax misc rev-rental income</t>
  </si>
  <si>
    <t>495300</t>
  </si>
  <si>
    <t>%,V496200</t>
  </si>
  <si>
    <t>Non tax m r-finance services</t>
  </si>
  <si>
    <t>496200</t>
  </si>
  <si>
    <t>%,R,FACCOUNT,TGASB_34_35,XDYYNYN00,N"MISC REVENUES"</t>
  </si>
  <si>
    <t>%,V981000</t>
  </si>
  <si>
    <t>Indirect Costs-Grantor</t>
  </si>
  <si>
    <t>981000</t>
  </si>
  <si>
    <t>%,R,FACCOUNT,TGASB_34_35,XDYYNYN00,N"F &amp; A RECOVERY"</t>
  </si>
  <si>
    <t>Facilities &amp; Administrative Cost Recovery</t>
  </si>
  <si>
    <t xml:space="preserve">       Total Operating Revenues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</si>
  <si>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</si>
  <si>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</si>
  <si>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</si>
  <si>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</si>
  <si>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</si>
  <si>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</si>
  <si>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</si>
  <si>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</si>
  <si>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</si>
  <si>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</si>
  <si>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</si>
  <si>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</si>
  <si>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</si>
  <si>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S&amp;W-Executive/Admin</t>
  </si>
  <si>
    <t>705100</t>
  </si>
  <si>
    <t>%,V705200</t>
  </si>
  <si>
    <t>S&amp;W-Professional</t>
  </si>
  <si>
    <t>705200</t>
  </si>
  <si>
    <t>%,V706200</t>
  </si>
  <si>
    <t>S&amp;W-Non-Exempt Technical</t>
  </si>
  <si>
    <t>706200</t>
  </si>
  <si>
    <t>%,V706300</t>
  </si>
  <si>
    <t>S&amp;W-Non-Exempt 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</si>
  <si>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</si>
  <si>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</si>
  <si>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</si>
  <si>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</si>
  <si>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</si>
  <si>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</si>
  <si>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</si>
  <si>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</si>
  <si>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</si>
  <si>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</si>
  <si>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</si>
  <si>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</si>
  <si>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</si>
  <si>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</si>
  <si>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</si>
  <si>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</si>
  <si>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</si>
  <si>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</si>
  <si>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</si>
  <si>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</si>
  <si>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</si>
  <si>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</si>
  <si>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</si>
  <si>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</si>
  <si>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</si>
  <si>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</si>
  <si>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</si>
  <si>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</si>
  <si>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</si>
  <si>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</si>
  <si>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SB-Executive/Admin</t>
  </si>
  <si>
    <t>710500</t>
  </si>
  <si>
    <t>%,V710600</t>
  </si>
  <si>
    <t>SB-Professional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</si>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</sst>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&quot;?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#,##0.0_);[Red]\(#,##0.0\)"/>
    <numFmt numFmtId="172" formatCode="_(&quot;$&quot;* #,##0.0_);_(&quot;$&quot;* \(#,##0.0\);_(&quot;$&quot;* &quot;-&quot;??_);_(@_)"/>
    <numFmt numFmtId="173" formatCode="yyyy\-mm\-dd"/>
    <numFmt numFmtId="174" formatCode="mm/dd/yyyy"/>
    <numFmt numFmtId="175" formatCode="0.00_);\(0.00\)"/>
    <numFmt numFmtId="176" formatCode="mmmm\ d\,\ yyyy"/>
    <numFmt numFmtId="177" formatCode="[$-409]dddd\,\ mmmm\ dd\,\ yyyy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F800]dddd\,\ mmmm\ dd\,\ yyyy"/>
    <numFmt numFmtId="185" formatCode="&quot;$&quot;#,##0"/>
    <numFmt numFmtId="186" formatCode="0.0000"/>
    <numFmt numFmtId="187" formatCode="[$-409]mmmm\ d\,\ yyyy;@"/>
    <numFmt numFmtId="188" formatCode="_(&quot;$&quot;* #,##0.0_);_(&quot;$&quot;* \(#,##0.0\);_(&quot;$&quot;* &quot;-&quot;?_);_(@_)"/>
    <numFmt numFmtId="189" formatCode="&quot;$&quot;#,##0.00"/>
    <numFmt numFmtId="190" formatCode="#,##0.0_);\(#,##0.0\)"/>
    <numFmt numFmtId="191" formatCode="#,##0.000_);\(#,##0.000\)"/>
    <numFmt numFmtId="192" formatCode="0.000"/>
    <numFmt numFmtId="193" formatCode="0.0"/>
  </numFmts>
  <fonts count="29"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0" fillId="0" borderId="1" applyFont="0" applyFill="0">
      <alignment horizontal="center" wrapText="1"/>
      <protection/>
    </xf>
    <xf numFmtId="41" fontId="10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640">
    <xf numFmtId="0" fontId="0" fillId="0" borderId="0" xfId="0" applyAlignment="1">
      <alignment/>
    </xf>
    <xf numFmtId="164" fontId="0" fillId="0" borderId="0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/>
    </xf>
    <xf numFmtId="164" fontId="0" fillId="0" borderId="3" xfId="18" applyNumberFormat="1" applyFont="1" applyFill="1" applyBorder="1" applyAlignment="1">
      <alignment/>
    </xf>
    <xf numFmtId="164" fontId="2" fillId="0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 horizontal="left"/>
    </xf>
    <xf numFmtId="164" fontId="4" fillId="2" borderId="5" xfId="18" applyNumberFormat="1" applyFont="1" applyFill="1" applyBorder="1" applyAlignment="1">
      <alignment/>
    </xf>
    <xf numFmtId="164" fontId="5" fillId="2" borderId="5" xfId="18" applyNumberFormat="1" applyFont="1" applyFill="1" applyBorder="1" applyAlignment="1">
      <alignment/>
    </xf>
    <xf numFmtId="164" fontId="6" fillId="2" borderId="5" xfId="18" applyNumberFormat="1" applyFont="1" applyFill="1" applyBorder="1" applyAlignment="1">
      <alignment/>
    </xf>
    <xf numFmtId="164" fontId="5" fillId="2" borderId="6" xfId="18" applyNumberFormat="1" applyFont="1" applyFill="1" applyBorder="1" applyAlignment="1">
      <alignment/>
    </xf>
    <xf numFmtId="164" fontId="7" fillId="0" borderId="0" xfId="18" applyNumberFormat="1" applyFont="1" applyFill="1" applyAlignment="1">
      <alignment/>
    </xf>
    <xf numFmtId="164" fontId="4" fillId="2" borderId="7" xfId="18" applyNumberFormat="1" applyFont="1" applyFill="1" applyBorder="1" applyAlignment="1">
      <alignment horizontal="left"/>
    </xf>
    <xf numFmtId="164" fontId="4" fillId="2" borderId="0" xfId="18" applyNumberFormat="1" applyFont="1" applyFill="1" applyBorder="1" applyAlignment="1">
      <alignment/>
    </xf>
    <xf numFmtId="164" fontId="5" fillId="2" borderId="0" xfId="18" applyNumberFormat="1" applyFont="1" applyFill="1" applyBorder="1" applyAlignment="1">
      <alignment/>
    </xf>
    <xf numFmtId="164" fontId="6" fillId="2" borderId="0" xfId="18" applyNumberFormat="1" applyFont="1" applyFill="1" applyBorder="1" applyAlignment="1">
      <alignment/>
    </xf>
    <xf numFmtId="164" fontId="5" fillId="2" borderId="3" xfId="18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164" fontId="8" fillId="2" borderId="7" xfId="18" applyNumberFormat="1" applyFont="1" applyFill="1" applyBorder="1" applyAlignment="1">
      <alignment/>
    </xf>
    <xf numFmtId="164" fontId="8" fillId="2" borderId="0" xfId="18" applyNumberFormat="1" applyFont="1" applyFill="1" applyBorder="1" applyAlignment="1">
      <alignment/>
    </xf>
    <xf numFmtId="164" fontId="8" fillId="2" borderId="0" xfId="18" applyNumberFormat="1" applyFont="1" applyFill="1" applyBorder="1" applyAlignment="1">
      <alignment horizontal="center"/>
    </xf>
    <xf numFmtId="164" fontId="9" fillId="2" borderId="0" xfId="18" applyNumberFormat="1" applyFont="1" applyFill="1" applyBorder="1" applyAlignment="1">
      <alignment horizontal="center"/>
    </xf>
    <xf numFmtId="164" fontId="8" fillId="2" borderId="3" xfId="18" applyNumberFormat="1" applyFont="1" applyFill="1" applyBorder="1" applyAlignment="1">
      <alignment/>
    </xf>
    <xf numFmtId="164" fontId="10" fillId="0" borderId="0" xfId="18" applyNumberFormat="1" applyFont="1" applyFill="1" applyAlignment="1">
      <alignment/>
    </xf>
    <xf numFmtId="164" fontId="10" fillId="0" borderId="8" xfId="18" applyNumberFormat="1" applyFont="1" applyFill="1" applyBorder="1" applyAlignment="1">
      <alignment/>
    </xf>
    <xf numFmtId="164" fontId="10" fillId="0" borderId="9" xfId="18" applyNumberFormat="1" applyFont="1" applyFill="1" applyBorder="1" applyAlignment="1">
      <alignment/>
    </xf>
    <xf numFmtId="1" fontId="10" fillId="0" borderId="1" xfId="18" applyNumberFormat="1" applyFont="1" applyFill="1" applyBorder="1" applyAlignment="1">
      <alignment horizontal="center"/>
    </xf>
    <xf numFmtId="1" fontId="11" fillId="0" borderId="1" xfId="18" applyNumberFormat="1" applyFont="1" applyFill="1" applyBorder="1" applyAlignment="1">
      <alignment horizontal="center"/>
    </xf>
    <xf numFmtId="164" fontId="10" fillId="0" borderId="1" xfId="18" applyNumberFormat="1" applyFont="1" applyFill="1" applyBorder="1" applyAlignment="1">
      <alignment/>
    </xf>
    <xf numFmtId="164" fontId="11" fillId="0" borderId="9" xfId="18" applyNumberFormat="1" applyFont="1" applyFill="1" applyBorder="1" applyAlignment="1">
      <alignment/>
    </xf>
    <xf numFmtId="164" fontId="10" fillId="0" borderId="0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2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2" fontId="2" fillId="0" borderId="9" xfId="18" applyNumberFormat="1" applyFont="1" applyFill="1" applyBorder="1" applyAlignment="1" quotePrefix="1">
      <alignment/>
    </xf>
    <xf numFmtId="41" fontId="0" fillId="0" borderId="1" xfId="18" applyNumberFormat="1" applyFont="1" applyFill="1" applyBorder="1" applyAlignment="1">
      <alignment/>
    </xf>
    <xf numFmtId="41" fontId="2" fillId="0" borderId="9" xfId="18" applyNumberFormat="1" applyFont="1" applyFill="1" applyBorder="1" applyAlignment="1" quotePrefix="1">
      <alignment/>
    </xf>
    <xf numFmtId="41" fontId="2" fillId="0" borderId="9" xfId="18" applyNumberFormat="1" applyFont="1" applyFill="1" applyBorder="1" applyAlignment="1">
      <alignment/>
    </xf>
    <xf numFmtId="41" fontId="10" fillId="0" borderId="1" xfId="18" applyNumberFormat="1" applyFont="1" applyFill="1" applyBorder="1" applyAlignment="1">
      <alignment/>
    </xf>
    <xf numFmtId="41" fontId="11" fillId="0" borderId="9" xfId="18" applyNumberFormat="1" applyFont="1" applyFill="1" applyBorder="1" applyAlignment="1">
      <alignment/>
    </xf>
    <xf numFmtId="42" fontId="10" fillId="0" borderId="1" xfId="18" applyNumberFormat="1" applyFont="1" applyFill="1" applyBorder="1" applyAlignment="1">
      <alignment/>
    </xf>
    <xf numFmtId="41" fontId="0" fillId="0" borderId="0" xfId="18" applyNumberFormat="1" applyFont="1" applyFill="1" applyBorder="1" applyAlignment="1">
      <alignment/>
    </xf>
    <xf numFmtId="164" fontId="2" fillId="0" borderId="8" xfId="18" applyNumberFormat="1" applyFont="1" applyFill="1" applyBorder="1" applyAlignment="1">
      <alignment/>
    </xf>
    <xf numFmtId="164" fontId="2" fillId="0" borderId="1" xfId="18" applyNumberFormat="1" applyFont="1" applyFill="1" applyBorder="1" applyAlignment="1">
      <alignment/>
    </xf>
    <xf numFmtId="164" fontId="2" fillId="0" borderId="0" xfId="18" applyNumberFormat="1" applyFont="1" applyFill="1" applyAlignment="1">
      <alignment/>
    </xf>
    <xf numFmtId="164" fontId="2" fillId="0" borderId="8" xfId="18" applyNumberFormat="1" applyFont="1" applyFill="1" applyBorder="1" applyAlignment="1" quotePrefix="1">
      <alignment/>
    </xf>
    <xf numFmtId="164" fontId="0" fillId="0" borderId="5" xfId="18" applyNumberFormat="1" applyFont="1" applyFill="1" applyBorder="1" applyAlignment="1">
      <alignment/>
    </xf>
    <xf numFmtId="164" fontId="12" fillId="0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/>
    </xf>
    <xf numFmtId="164" fontId="4" fillId="2" borderId="5" xfId="18" applyNumberFormat="1" applyFont="1" applyFill="1" applyBorder="1" applyAlignment="1">
      <alignment horizontal="left"/>
    </xf>
    <xf numFmtId="164" fontId="4" fillId="2" borderId="0" xfId="18" applyNumberFormat="1" applyFont="1" applyFill="1" applyBorder="1" applyAlignment="1">
      <alignment horizontal="left"/>
    </xf>
    <xf numFmtId="0" fontId="5" fillId="2" borderId="6" xfId="24" applyFont="1" applyFill="1" applyBorder="1">
      <alignment/>
      <protection/>
    </xf>
    <xf numFmtId="0" fontId="7" fillId="0" borderId="0" xfId="24" applyFont="1">
      <alignment/>
      <protection/>
    </xf>
    <xf numFmtId="164" fontId="4" fillId="2" borderId="7" xfId="18" applyNumberFormat="1" applyFont="1" applyFill="1" applyBorder="1" applyAlignment="1">
      <alignment/>
    </xf>
    <xf numFmtId="0" fontId="13" fillId="2" borderId="3" xfId="24" applyFont="1" applyFill="1" applyBorder="1">
      <alignment/>
      <protection/>
    </xf>
    <xf numFmtId="0" fontId="0" fillId="0" borderId="0" xfId="24" applyFont="1">
      <alignment/>
      <protection/>
    </xf>
    <xf numFmtId="0" fontId="5" fillId="2" borderId="3" xfId="24" applyFont="1" applyFill="1" applyBorder="1">
      <alignment/>
      <protection/>
    </xf>
    <xf numFmtId="164" fontId="4" fillId="2" borderId="10" xfId="18" applyNumberFormat="1" applyFont="1" applyFill="1" applyBorder="1" applyAlignment="1">
      <alignment horizontal="left"/>
    </xf>
    <xf numFmtId="0" fontId="13" fillId="2" borderId="11" xfId="24" applyFont="1" applyFill="1" applyBorder="1">
      <alignment/>
      <protection/>
    </xf>
    <xf numFmtId="164" fontId="14" fillId="0" borderId="8" xfId="18" applyNumberFormat="1" applyFont="1" applyFill="1" applyBorder="1" applyAlignment="1">
      <alignment/>
    </xf>
    <xf numFmtId="164" fontId="14" fillId="0" borderId="12" xfId="18" applyNumberFormat="1" applyFont="1" applyFill="1" applyBorder="1" applyAlignment="1">
      <alignment/>
    </xf>
    <xf numFmtId="0" fontId="10" fillId="0" borderId="1" xfId="24" applyFont="1" applyBorder="1" applyAlignment="1">
      <alignment horizontal="center"/>
      <protection/>
    </xf>
    <xf numFmtId="164" fontId="10" fillId="0" borderId="0" xfId="18" applyNumberFormat="1" applyFont="1" applyFill="1" applyBorder="1" applyAlignment="1">
      <alignment horizontal="center"/>
    </xf>
    <xf numFmtId="164" fontId="10" fillId="0" borderId="8" xfId="18" applyNumberFormat="1" applyFont="1" applyFill="1" applyBorder="1" applyAlignment="1">
      <alignment horizontal="left"/>
    </xf>
    <xf numFmtId="164" fontId="10" fillId="0" borderId="9" xfId="18" applyNumberFormat="1" applyFont="1" applyFill="1" applyBorder="1" applyAlignment="1">
      <alignment horizontal="left"/>
    </xf>
    <xf numFmtId="10" fontId="0" fillId="0" borderId="1" xfId="32" applyNumberFormat="1" applyFont="1" applyFill="1" applyBorder="1" applyAlignment="1">
      <alignment/>
    </xf>
    <xf numFmtId="10" fontId="0" fillId="0" borderId="0" xfId="32" applyNumberFormat="1" applyFont="1" applyFill="1" applyBorder="1" applyAlignment="1">
      <alignment/>
    </xf>
    <xf numFmtId="0" fontId="0" fillId="0" borderId="1" xfId="24" applyFont="1" applyBorder="1">
      <alignment/>
      <protection/>
    </xf>
    <xf numFmtId="42" fontId="0" fillId="0" borderId="0" xfId="18" applyNumberFormat="1" applyFont="1" applyFill="1" applyBorder="1" applyAlignment="1">
      <alignment/>
    </xf>
    <xf numFmtId="0" fontId="0" fillId="0" borderId="0" xfId="24" applyFont="1" applyBorder="1">
      <alignment/>
      <protection/>
    </xf>
    <xf numFmtId="41" fontId="10" fillId="0" borderId="0" xfId="18" applyNumberFormat="1" applyFont="1" applyFill="1" applyBorder="1" applyAlignment="1">
      <alignment/>
    </xf>
    <xf numFmtId="0" fontId="10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64" fontId="10" fillId="0" borderId="9" xfId="18" applyNumberFormat="1" applyFont="1" applyFill="1" applyBorder="1" applyAlignment="1">
      <alignment/>
    </xf>
    <xf numFmtId="0" fontId="10" fillId="0" borderId="0" xfId="24" applyFont="1" applyBorder="1">
      <alignment/>
      <protection/>
    </xf>
    <xf numFmtId="0" fontId="10" fillId="0" borderId="9" xfId="24" applyFont="1" applyBorder="1">
      <alignment/>
      <protection/>
    </xf>
    <xf numFmtId="42" fontId="10" fillId="0" borderId="0" xfId="18" applyNumberFormat="1" applyFont="1" applyFill="1" applyBorder="1" applyAlignment="1">
      <alignment/>
    </xf>
    <xf numFmtId="0" fontId="0" fillId="0" borderId="5" xfId="24" applyFont="1" applyBorder="1">
      <alignment/>
      <protection/>
    </xf>
    <xf numFmtId="38" fontId="15" fillId="2" borderId="5" xfId="0" applyNumberFormat="1" applyFont="1" applyFill="1" applyBorder="1" applyAlignment="1">
      <alignment/>
    </xf>
    <xf numFmtId="37" fontId="13" fillId="2" borderId="5" xfId="0" applyNumberFormat="1" applyFont="1" applyFill="1" applyBorder="1" applyAlignment="1">
      <alignment/>
    </xf>
    <xf numFmtId="39" fontId="13" fillId="2" borderId="6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3" fillId="2" borderId="0" xfId="0" applyNumberFormat="1" applyFont="1" applyFill="1" applyBorder="1" applyAlignment="1">
      <alignment/>
    </xf>
    <xf numFmtId="37" fontId="13" fillId="2" borderId="0" xfId="0" applyNumberFormat="1" applyFont="1" applyFill="1" applyBorder="1" applyAlignment="1">
      <alignment/>
    </xf>
    <xf numFmtId="39" fontId="13" fillId="2" borderId="3" xfId="0" applyNumberFormat="1" applyFont="1" applyFill="1" applyBorder="1" applyAlignment="1">
      <alignment/>
    </xf>
    <xf numFmtId="164" fontId="8" fillId="2" borderId="7" xfId="18" applyNumberFormat="1" applyFont="1" applyFill="1" applyBorder="1" applyAlignment="1">
      <alignment horizontal="left"/>
    </xf>
    <xf numFmtId="164" fontId="14" fillId="0" borderId="4" xfId="18" applyNumberFormat="1" applyFont="1" applyFill="1" applyBorder="1" applyAlignment="1">
      <alignment horizontal="left"/>
    </xf>
    <xf numFmtId="38" fontId="0" fillId="0" borderId="5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38" fontId="10" fillId="0" borderId="8" xfId="0" applyNumberFormat="1" applyFont="1" applyFill="1" applyBorder="1" applyAlignment="1">
      <alignment/>
    </xf>
    <xf numFmtId="38" fontId="10" fillId="0" borderId="12" xfId="0" applyNumberFormat="1" applyFont="1" applyFill="1" applyBorder="1" applyAlignment="1">
      <alignment/>
    </xf>
    <xf numFmtId="38" fontId="10" fillId="0" borderId="9" xfId="0" applyNumberFormat="1" applyFont="1" applyFill="1" applyBorder="1" applyAlignment="1">
      <alignment/>
    </xf>
    <xf numFmtId="37" fontId="0" fillId="0" borderId="8" xfId="18" applyNumberFormat="1" applyFont="1" applyFill="1" applyBorder="1" applyAlignment="1">
      <alignment/>
    </xf>
    <xf numFmtId="39" fontId="10" fillId="0" borderId="1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42" fontId="0" fillId="0" borderId="8" xfId="20" applyNumberFormat="1" applyFont="1" applyFill="1" applyBorder="1" applyAlignment="1">
      <alignment/>
    </xf>
    <xf numFmtId="41" fontId="0" fillId="0" borderId="8" xfId="18" applyNumberFormat="1" applyFont="1" applyFill="1" applyBorder="1" applyAlignment="1">
      <alignment/>
    </xf>
    <xf numFmtId="41" fontId="10" fillId="0" borderId="8" xfId="18" applyNumberFormat="1" applyFont="1" applyFill="1" applyBorder="1" applyAlignment="1">
      <alignment/>
    </xf>
    <xf numFmtId="42" fontId="10" fillId="0" borderId="8" xfId="2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42" fontId="0" fillId="0" borderId="0" xfId="18" applyNumberFormat="1" applyFont="1" applyFill="1" applyAlignment="1">
      <alignment/>
    </xf>
    <xf numFmtId="42" fontId="0" fillId="0" borderId="5" xfId="0" applyNumberFormat="1" applyFont="1" applyFill="1" applyBorder="1" applyAlignment="1">
      <alignment/>
    </xf>
    <xf numFmtId="37" fontId="0" fillId="0" borderId="0" xfId="18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8" fontId="10" fillId="0" borderId="0" xfId="0" applyNumberFormat="1" applyFont="1" applyFill="1" applyBorder="1" applyAlignment="1">
      <alignment/>
    </xf>
    <xf numFmtId="37" fontId="0" fillId="0" borderId="10" xfId="18" applyNumberFormat="1" applyFont="1" applyFill="1" applyBorder="1" applyAlignment="1">
      <alignment/>
    </xf>
    <xf numFmtId="39" fontId="2" fillId="0" borderId="0" xfId="18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2" fontId="10" fillId="0" borderId="13" xfId="0" applyNumberFormat="1" applyFont="1" applyFill="1" applyBorder="1" applyAlignment="1">
      <alignment/>
    </xf>
    <xf numFmtId="39" fontId="10" fillId="0" borderId="0" xfId="0" applyNumberFormat="1" applyFont="1" applyFill="1" applyAlignment="1">
      <alignment/>
    </xf>
    <xf numFmtId="42" fontId="0" fillId="0" borderId="1" xfId="20" applyNumberFormat="1" applyFont="1" applyFill="1" applyBorder="1" applyAlignment="1">
      <alignment/>
    </xf>
    <xf numFmtId="41" fontId="0" fillId="0" borderId="1" xfId="18" applyNumberFormat="1" applyFont="1" applyFill="1" applyBorder="1" applyAlignment="1">
      <alignment/>
    </xf>
    <xf numFmtId="41" fontId="10" fillId="0" borderId="1" xfId="18" applyNumberFormat="1" applyFont="1" applyFill="1" applyBorder="1" applyAlignment="1">
      <alignment/>
    </xf>
    <xf numFmtId="42" fontId="10" fillId="0" borderId="1" xfId="20" applyNumberFormat="1" applyFont="1" applyFill="1" applyBorder="1" applyAlignment="1">
      <alignment/>
    </xf>
    <xf numFmtId="164" fontId="0" fillId="0" borderId="0" xfId="1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8" fillId="2" borderId="0" xfId="18" applyNumberFormat="1" applyFont="1" applyFill="1" applyAlignment="1">
      <alignment/>
    </xf>
    <xf numFmtId="164" fontId="3" fillId="2" borderId="5" xfId="18" applyNumberFormat="1" applyFont="1" applyFill="1" applyBorder="1" applyAlignment="1">
      <alignment/>
    </xf>
    <xf numFmtId="164" fontId="19" fillId="2" borderId="5" xfId="18" applyNumberFormat="1" applyFont="1" applyFill="1" applyBorder="1" applyAlignment="1">
      <alignment/>
    </xf>
    <xf numFmtId="164" fontId="19" fillId="2" borderId="6" xfId="18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8" fillId="0" borderId="0" xfId="0" applyFont="1" applyFill="1" applyAlignment="1">
      <alignment/>
    </xf>
    <xf numFmtId="164" fontId="7" fillId="2" borderId="0" xfId="18" applyNumberFormat="1" applyFont="1" applyFill="1" applyAlignment="1">
      <alignment/>
    </xf>
    <xf numFmtId="164" fontId="5" fillId="2" borderId="3" xfId="18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0" xfId="0" applyFont="1" applyFill="1" applyAlignment="1">
      <alignment/>
    </xf>
    <xf numFmtId="164" fontId="0" fillId="2" borderId="0" xfId="18" applyNumberFormat="1" applyFont="1" applyFill="1" applyAlignment="1">
      <alignment/>
    </xf>
    <xf numFmtId="0" fontId="8" fillId="2" borderId="7" xfId="0" applyFont="1" applyFill="1" applyBorder="1" applyAlignment="1">
      <alignment horizontal="left"/>
    </xf>
    <xf numFmtId="164" fontId="13" fillId="2" borderId="0" xfId="18" applyNumberFormat="1" applyFont="1" applyFill="1" applyBorder="1" applyAlignment="1">
      <alignment/>
    </xf>
    <xf numFmtId="164" fontId="13" fillId="2" borderId="3" xfId="18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164" fontId="0" fillId="0" borderId="0" xfId="18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4" fillId="2" borderId="14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164" fontId="13" fillId="2" borderId="10" xfId="18" applyNumberFormat="1" applyFont="1" applyFill="1" applyBorder="1" applyAlignment="1">
      <alignment/>
    </xf>
    <xf numFmtId="164" fontId="13" fillId="2" borderId="11" xfId="18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/>
    </xf>
    <xf numFmtId="164" fontId="10" fillId="0" borderId="4" xfId="18" applyNumberFormat="1" applyFont="1" applyFill="1" applyBorder="1" applyAlignment="1">
      <alignment/>
    </xf>
    <xf numFmtId="164" fontId="10" fillId="0" borderId="5" xfId="18" applyNumberFormat="1" applyFont="1" applyFill="1" applyBorder="1" applyAlignment="1">
      <alignment/>
    </xf>
    <xf numFmtId="164" fontId="10" fillId="0" borderId="6" xfId="18" applyNumberFormat="1" applyFont="1" applyFill="1" applyBorder="1" applyAlignment="1">
      <alignment/>
    </xf>
    <xf numFmtId="164" fontId="10" fillId="0" borderId="1" xfId="18" applyNumberFormat="1" applyFont="1" applyFill="1" applyBorder="1" applyAlignment="1">
      <alignment horizontal="center"/>
    </xf>
    <xf numFmtId="164" fontId="10" fillId="0" borderId="2" xfId="18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10" fillId="0" borderId="2" xfId="18" applyNumberFormat="1" applyFont="1" applyFill="1" applyBorder="1" applyAlignment="1">
      <alignment/>
    </xf>
    <xf numFmtId="164" fontId="10" fillId="0" borderId="7" xfId="18" applyNumberFormat="1" applyFont="1" applyFill="1" applyBorder="1" applyAlignment="1">
      <alignment/>
    </xf>
    <xf numFmtId="164" fontId="10" fillId="0" borderId="3" xfId="18" applyNumberFormat="1" applyFont="1" applyFill="1" applyBorder="1" applyAlignment="1">
      <alignment/>
    </xf>
    <xf numFmtId="164" fontId="10" fillId="0" borderId="15" xfId="18" applyNumberFormat="1" applyFont="1" applyFill="1" applyBorder="1" applyAlignment="1">
      <alignment horizontal="center"/>
    </xf>
    <xf numFmtId="164" fontId="10" fillId="0" borderId="1" xfId="18" applyNumberFormat="1" applyFont="1" applyFill="1" applyBorder="1" applyAlignment="1">
      <alignment/>
    </xf>
    <xf numFmtId="164" fontId="10" fillId="0" borderId="15" xfId="18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6" xfId="0" applyFont="1" applyFill="1" applyBorder="1" applyAlignment="1">
      <alignment horizontal="centerContinuous"/>
    </xf>
    <xf numFmtId="164" fontId="10" fillId="0" borderId="14" xfId="18" applyNumberFormat="1" applyFont="1" applyFill="1" applyBorder="1" applyAlignment="1">
      <alignment/>
    </xf>
    <xf numFmtId="164" fontId="10" fillId="0" borderId="10" xfId="18" applyNumberFormat="1" applyFont="1" applyFill="1" applyBorder="1" applyAlignment="1">
      <alignment/>
    </xf>
    <xf numFmtId="164" fontId="10" fillId="0" borderId="11" xfId="18" applyNumberFormat="1" applyFont="1" applyFill="1" applyBorder="1" applyAlignment="1">
      <alignment/>
    </xf>
    <xf numFmtId="164" fontId="10" fillId="0" borderId="16" xfId="18" applyNumberFormat="1" applyFont="1" applyFill="1" applyBorder="1" applyAlignment="1">
      <alignment horizontal="center"/>
    </xf>
    <xf numFmtId="164" fontId="10" fillId="0" borderId="12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 horizontal="center"/>
    </xf>
    <xf numFmtId="42" fontId="0" fillId="0" borderId="1" xfId="18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8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1" fontId="10" fillId="0" borderId="1" xfId="18" applyNumberFormat="1" applyFont="1" applyFill="1" applyBorder="1" applyAlignment="1">
      <alignment horizontal="center"/>
    </xf>
    <xf numFmtId="42" fontId="10" fillId="0" borderId="1" xfId="18" applyNumberFormat="1" applyFont="1" applyFill="1" applyBorder="1" applyAlignment="1">
      <alignment horizontal="center"/>
    </xf>
    <xf numFmtId="164" fontId="0" fillId="0" borderId="0" xfId="18" applyNumberFormat="1" applyFont="1" applyFill="1" applyAlignment="1">
      <alignment/>
    </xf>
    <xf numFmtId="164" fontId="0" fillId="0" borderId="0" xfId="18" applyNumberFormat="1" applyFont="1" applyFill="1" applyBorder="1" applyAlignment="1">
      <alignment/>
    </xf>
    <xf numFmtId="0" fontId="0" fillId="0" borderId="0" xfId="30" applyFont="1" applyFill="1" applyAlignment="1">
      <alignment/>
      <protection/>
    </xf>
    <xf numFmtId="164" fontId="19" fillId="2" borderId="0" xfId="18" applyNumberFormat="1" applyFont="1" applyFill="1" applyAlignment="1">
      <alignment/>
    </xf>
    <xf numFmtId="164" fontId="3" fillId="2" borderId="5" xfId="18" applyNumberFormat="1" applyFont="1" applyFill="1" applyBorder="1" applyAlignment="1">
      <alignment horizontal="left"/>
    </xf>
    <xf numFmtId="164" fontId="19" fillId="2" borderId="5" xfId="18" applyNumberFormat="1" applyFont="1" applyFill="1" applyBorder="1" applyAlignment="1">
      <alignment/>
    </xf>
    <xf numFmtId="164" fontId="3" fillId="2" borderId="6" xfId="18" applyNumberFormat="1" applyFont="1" applyFill="1" applyBorder="1" applyAlignment="1">
      <alignment horizontal="left"/>
    </xf>
    <xf numFmtId="0" fontId="15" fillId="2" borderId="0" xfId="30" applyFont="1" applyFill="1" applyAlignment="1">
      <alignment/>
      <protection/>
    </xf>
    <xf numFmtId="0" fontId="15" fillId="2" borderId="0" xfId="30" applyFont="1" applyFill="1" applyAlignment="1" quotePrefix="1">
      <alignment/>
      <protection/>
    </xf>
    <xf numFmtId="164" fontId="5" fillId="2" borderId="0" xfId="18" applyNumberFormat="1" applyFont="1" applyFill="1" applyAlignment="1">
      <alignment/>
    </xf>
    <xf numFmtId="0" fontId="4" fillId="2" borderId="7" xfId="30" applyFont="1" applyFill="1" applyBorder="1">
      <alignment/>
      <protection/>
    </xf>
    <xf numFmtId="164" fontId="5" fillId="2" borderId="0" xfId="18" applyNumberFormat="1" applyFont="1" applyFill="1" applyBorder="1" applyAlignment="1">
      <alignment/>
    </xf>
    <xf numFmtId="164" fontId="4" fillId="2" borderId="3" xfId="18" applyNumberFormat="1" applyFont="1" applyFill="1" applyBorder="1" applyAlignment="1">
      <alignment horizontal="left"/>
    </xf>
    <xf numFmtId="0" fontId="13" fillId="2" borderId="0" xfId="30" applyFont="1" applyFill="1" applyAlignment="1">
      <alignment/>
      <protection/>
    </xf>
    <xf numFmtId="164" fontId="5" fillId="2" borderId="0" xfId="18" applyNumberFormat="1" applyFont="1" applyFill="1" applyAlignment="1" quotePrefix="1">
      <alignment/>
    </xf>
    <xf numFmtId="164" fontId="4" fillId="2" borderId="14" xfId="18" applyNumberFormat="1" applyFont="1" applyFill="1" applyBorder="1" applyAlignment="1">
      <alignment horizontal="left"/>
    </xf>
    <xf numFmtId="164" fontId="0" fillId="0" borderId="4" xfId="18" applyNumberFormat="1" applyFont="1" applyFill="1" applyBorder="1" applyAlignment="1">
      <alignment/>
    </xf>
    <xf numFmtId="164" fontId="10" fillId="0" borderId="5" xfId="18" applyNumberFormat="1" applyFont="1" applyFill="1" applyBorder="1" applyAlignment="1">
      <alignment/>
    </xf>
    <xf numFmtId="164" fontId="0" fillId="0" borderId="6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10" fillId="0" borderId="4" xfId="18" applyNumberFormat="1" applyFont="1" applyFill="1" applyBorder="1" applyAlignment="1">
      <alignment/>
    </xf>
    <xf numFmtId="164" fontId="10" fillId="0" borderId="6" xfId="18" applyNumberFormat="1" applyFont="1" applyFill="1" applyBorder="1" applyAlignment="1">
      <alignment/>
    </xf>
    <xf numFmtId="164" fontId="10" fillId="0" borderId="1" xfId="18" applyNumberFormat="1" applyFont="1" applyFill="1" applyBorder="1" applyAlignment="1">
      <alignment horizontal="centerContinuous"/>
    </xf>
    <xf numFmtId="164" fontId="10" fillId="0" borderId="2" xfId="18" applyNumberFormat="1" applyFont="1" applyFill="1" applyBorder="1" applyAlignment="1">
      <alignment horizontal="centerContinuous"/>
    </xf>
    <xf numFmtId="164" fontId="10" fillId="0" borderId="2" xfId="18" applyNumberFormat="1" applyFont="1" applyFill="1" applyBorder="1" applyAlignment="1">
      <alignment/>
    </xf>
    <xf numFmtId="164" fontId="10" fillId="0" borderId="7" xfId="18" applyNumberFormat="1" applyFont="1" applyFill="1" applyBorder="1" applyAlignment="1">
      <alignment/>
    </xf>
    <xf numFmtId="164" fontId="10" fillId="0" borderId="0" xfId="18" applyNumberFormat="1" applyFont="1" applyFill="1" applyBorder="1" applyAlignment="1">
      <alignment/>
    </xf>
    <xf numFmtId="164" fontId="0" fillId="0" borderId="3" xfId="18" applyNumberFormat="1" applyFont="1" applyFill="1" applyBorder="1" applyAlignment="1">
      <alignment/>
    </xf>
    <xf numFmtId="164" fontId="10" fillId="0" borderId="3" xfId="18" applyNumberFormat="1" applyFont="1" applyFill="1" applyBorder="1" applyAlignment="1">
      <alignment/>
    </xf>
    <xf numFmtId="164" fontId="10" fillId="0" borderId="15" xfId="18" applyNumberFormat="1" applyFont="1" applyFill="1" applyBorder="1" applyAlignment="1">
      <alignment/>
    </xf>
    <xf numFmtId="164" fontId="10" fillId="0" borderId="15" xfId="18" applyNumberFormat="1" applyFont="1" applyFill="1" applyBorder="1" applyAlignment="1">
      <alignment horizontal="centerContinuous"/>
    </xf>
    <xf numFmtId="164" fontId="10" fillId="0" borderId="7" xfId="18" applyNumberFormat="1" applyFont="1" applyFill="1" applyBorder="1" applyAlignment="1">
      <alignment horizontal="center"/>
    </xf>
    <xf numFmtId="164" fontId="10" fillId="0" borderId="3" xfId="18" applyNumberFormat="1" applyFont="1" applyFill="1" applyBorder="1" applyAlignment="1">
      <alignment horizontal="center"/>
    </xf>
    <xf numFmtId="164" fontId="10" fillId="0" borderId="14" xfId="18" applyNumberFormat="1" applyFont="1" applyFill="1" applyBorder="1" applyAlignment="1">
      <alignment horizontal="centerContinuous"/>
    </xf>
    <xf numFmtId="164" fontId="10" fillId="0" borderId="10" xfId="18" applyNumberFormat="1" applyFont="1" applyFill="1" applyBorder="1" applyAlignment="1">
      <alignment horizontal="centerContinuous"/>
    </xf>
    <xf numFmtId="164" fontId="10" fillId="0" borderId="11" xfId="18" applyNumberFormat="1" applyFont="1" applyFill="1" applyBorder="1" applyAlignment="1">
      <alignment horizontal="centerContinuous"/>
    </xf>
    <xf numFmtId="164" fontId="7" fillId="0" borderId="0" xfId="18" applyNumberFormat="1" applyFont="1" applyFill="1" applyAlignment="1">
      <alignment/>
    </xf>
    <xf numFmtId="164" fontId="10" fillId="0" borderId="12" xfId="18" applyNumberFormat="1" applyFont="1" applyFill="1" applyBorder="1" applyAlignment="1">
      <alignment horizontal="left"/>
    </xf>
    <xf numFmtId="164" fontId="0" fillId="0" borderId="12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164" fontId="14" fillId="0" borderId="0" xfId="18" applyNumberFormat="1" applyFont="1" applyFill="1" applyAlignment="1">
      <alignment/>
    </xf>
    <xf numFmtId="164" fontId="10" fillId="0" borderId="8" xfId="18" applyNumberFormat="1" applyFont="1" applyFill="1" applyBorder="1" applyAlignment="1">
      <alignment/>
    </xf>
    <xf numFmtId="164" fontId="10" fillId="0" borderId="12" xfId="18" applyNumberFormat="1" applyFont="1" applyFill="1" applyBorder="1" applyAlignment="1">
      <alignment/>
    </xf>
    <xf numFmtId="164" fontId="14" fillId="0" borderId="0" xfId="18" applyNumberFormat="1" applyFont="1" applyFill="1" applyBorder="1" applyAlignment="1">
      <alignment/>
    </xf>
    <xf numFmtId="41" fontId="7" fillId="0" borderId="0" xfId="18" applyNumberFormat="1" applyFont="1" applyFill="1" applyAlignment="1">
      <alignment/>
    </xf>
    <xf numFmtId="41" fontId="0" fillId="0" borderId="0" xfId="30" applyNumberFormat="1" applyFont="1" applyFill="1" applyAlignment="1">
      <alignment/>
      <protection/>
    </xf>
    <xf numFmtId="0" fontId="10" fillId="0" borderId="0" xfId="30" applyFont="1" applyFill="1" applyAlignment="1">
      <alignment/>
      <protection/>
    </xf>
    <xf numFmtId="164" fontId="0" fillId="0" borderId="5" xfId="18" applyNumberFormat="1" applyFont="1" applyFill="1" applyBorder="1" applyAlignment="1">
      <alignment/>
    </xf>
    <xf numFmtId="164" fontId="7" fillId="0" borderId="0" xfId="18" applyNumberFormat="1" applyFont="1" applyFill="1" applyBorder="1" applyAlignment="1">
      <alignment/>
    </xf>
    <xf numFmtId="164" fontId="14" fillId="0" borderId="12" xfId="18" applyNumberFormat="1" applyFont="1" applyFill="1" applyBorder="1" applyAlignment="1">
      <alignment/>
    </xf>
    <xf numFmtId="0" fontId="7" fillId="0" borderId="0" xfId="30" applyFont="1" applyFill="1" applyAlignment="1">
      <alignment/>
      <protection/>
    </xf>
    <xf numFmtId="42" fontId="10" fillId="0" borderId="1" xfId="18" applyNumberFormat="1" applyFont="1" applyFill="1" applyBorder="1" applyAlignment="1">
      <alignment/>
    </xf>
    <xf numFmtId="0" fontId="0" fillId="0" borderId="0" xfId="30" applyFont="1" applyFill="1">
      <alignment/>
      <protection/>
    </xf>
    <xf numFmtId="164" fontId="20" fillId="0" borderId="0" xfId="18" applyNumberFormat="1" applyFont="1" applyFill="1" applyAlignment="1">
      <alignment/>
    </xf>
    <xf numFmtId="164" fontId="20" fillId="0" borderId="0" xfId="18" applyNumberFormat="1" applyFont="1" applyFill="1" applyBorder="1" applyAlignment="1">
      <alignment/>
    </xf>
    <xf numFmtId="0" fontId="20" fillId="0" borderId="0" xfId="25" applyFont="1" applyFill="1" applyAlignment="1">
      <alignment/>
      <protection/>
    </xf>
    <xf numFmtId="164" fontId="5" fillId="0" borderId="0" xfId="18" applyNumberFormat="1" applyFont="1" applyFill="1" applyAlignment="1">
      <alignment/>
    </xf>
    <xf numFmtId="164" fontId="4" fillId="2" borderId="6" xfId="18" applyNumberFormat="1" applyFont="1" applyFill="1" applyBorder="1" applyAlignment="1">
      <alignment horizontal="left"/>
    </xf>
    <xf numFmtId="0" fontId="13" fillId="0" borderId="0" xfId="25" applyFont="1" applyFill="1" applyAlignment="1">
      <alignment/>
      <protection/>
    </xf>
    <xf numFmtId="164" fontId="5" fillId="0" borderId="0" xfId="18" applyNumberFormat="1" applyFont="1" applyFill="1" applyAlignment="1" quotePrefix="1">
      <alignment/>
    </xf>
    <xf numFmtId="164" fontId="13" fillId="2" borderId="7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4" fillId="2" borderId="3" xfId="18" applyNumberFormat="1" applyFont="1" applyFill="1" applyBorder="1" applyAlignment="1">
      <alignment horizontal="centerContinuous"/>
    </xf>
    <xf numFmtId="164" fontId="10" fillId="0" borderId="4" xfId="18" applyNumberFormat="1" applyFont="1" applyFill="1" applyBorder="1" applyAlignment="1">
      <alignment horizontal="center"/>
    </xf>
    <xf numFmtId="164" fontId="10" fillId="0" borderId="5" xfId="18" applyNumberFormat="1" applyFont="1" applyFill="1" applyBorder="1" applyAlignment="1">
      <alignment horizontal="center"/>
    </xf>
    <xf numFmtId="164" fontId="10" fillId="0" borderId="6" xfId="18" applyNumberFormat="1" applyFont="1" applyFill="1" applyBorder="1" applyAlignment="1">
      <alignment horizontal="center"/>
    </xf>
    <xf numFmtId="164" fontId="10" fillId="0" borderId="8" xfId="18" applyNumberFormat="1" applyFont="1" applyFill="1" applyBorder="1" applyAlignment="1">
      <alignment horizontal="centerContinuous"/>
    </xf>
    <xf numFmtId="164" fontId="10" fillId="0" borderId="12" xfId="18" applyNumberFormat="1" applyFont="1" applyFill="1" applyBorder="1" applyAlignment="1">
      <alignment horizontal="centerContinuous"/>
    </xf>
    <xf numFmtId="164" fontId="10" fillId="0" borderId="9" xfId="18" applyNumberFormat="1" applyFont="1" applyFill="1" applyBorder="1" applyAlignment="1">
      <alignment horizontal="centerContinuous"/>
    </xf>
    <xf numFmtId="0" fontId="0" fillId="0" borderId="0" xfId="25" applyFont="1" applyFill="1" applyAlignment="1">
      <alignment/>
      <protection/>
    </xf>
    <xf numFmtId="164" fontId="0" fillId="0" borderId="0" xfId="18" applyNumberFormat="1" applyFont="1" applyFill="1" applyAlignment="1">
      <alignment wrapText="1"/>
    </xf>
    <xf numFmtId="164" fontId="10" fillId="0" borderId="14" xfId="18" applyNumberFormat="1" applyFont="1" applyFill="1" applyBorder="1" applyAlignment="1">
      <alignment horizontal="centerContinuous" wrapText="1"/>
    </xf>
    <xf numFmtId="164" fontId="10" fillId="0" borderId="10" xfId="18" applyNumberFormat="1" applyFont="1" applyFill="1" applyBorder="1" applyAlignment="1">
      <alignment horizontal="centerContinuous" wrapText="1"/>
    </xf>
    <xf numFmtId="164" fontId="10" fillId="0" borderId="11" xfId="18" applyNumberFormat="1" applyFont="1" applyFill="1" applyBorder="1" applyAlignment="1">
      <alignment horizontal="centerContinuous" wrapText="1"/>
    </xf>
    <xf numFmtId="164" fontId="10" fillId="0" borderId="1" xfId="18" applyNumberFormat="1" applyFont="1" applyFill="1" applyBorder="1" applyAlignment="1">
      <alignment horizontal="center" wrapText="1"/>
    </xf>
    <xf numFmtId="164" fontId="10" fillId="0" borderId="16" xfId="18" applyNumberFormat="1" applyFont="1" applyFill="1" applyBorder="1" applyAlignment="1">
      <alignment horizontal="center" wrapText="1"/>
    </xf>
    <xf numFmtId="0" fontId="0" fillId="0" borderId="0" xfId="25" applyFont="1" applyFill="1" applyAlignment="1">
      <alignment wrapText="1"/>
      <protection/>
    </xf>
    <xf numFmtId="0" fontId="0" fillId="0" borderId="0" xfId="25" applyFont="1" applyFill="1" applyBorder="1" applyAlignment="1">
      <alignment/>
      <protection/>
    </xf>
    <xf numFmtId="0" fontId="0" fillId="0" borderId="12" xfId="25" applyFont="1" applyFill="1" applyBorder="1" applyAlignment="1">
      <alignment/>
      <protection/>
    </xf>
    <xf numFmtId="164" fontId="7" fillId="0" borderId="8" xfId="18" applyNumberFormat="1" applyFont="1" applyFill="1" applyBorder="1" applyAlignment="1">
      <alignment/>
    </xf>
    <xf numFmtId="164" fontId="7" fillId="0" borderId="12" xfId="18" applyNumberFormat="1" applyFont="1" applyFill="1" applyBorder="1" applyAlignment="1">
      <alignment/>
    </xf>
    <xf numFmtId="164" fontId="14" fillId="0" borderId="8" xfId="18" applyNumberFormat="1" applyFont="1" applyFill="1" applyBorder="1" applyAlignment="1">
      <alignment/>
    </xf>
    <xf numFmtId="0" fontId="10" fillId="0" borderId="0" xfId="25" applyFont="1" applyFill="1" applyBorder="1" applyAlignment="1">
      <alignment/>
      <protection/>
    </xf>
    <xf numFmtId="0" fontId="10" fillId="0" borderId="12" xfId="25" applyFont="1" applyFill="1" applyBorder="1" applyAlignment="1">
      <alignment/>
      <protection/>
    </xf>
    <xf numFmtId="164" fontId="0" fillId="0" borderId="10" xfId="18" applyNumberFormat="1" applyFont="1" applyFill="1" applyBorder="1" applyAlignment="1">
      <alignment/>
    </xf>
    <xf numFmtId="0" fontId="10" fillId="0" borderId="0" xfId="25" applyFont="1" applyFill="1" applyAlignment="1">
      <alignment/>
      <protection/>
    </xf>
    <xf numFmtId="0" fontId="7" fillId="0" borderId="0" xfId="25" applyFont="1" applyFill="1" applyAlignment="1">
      <alignment/>
      <protection/>
    </xf>
    <xf numFmtId="0" fontId="0" fillId="0" borderId="0" xfId="26" applyFont="1">
      <alignment/>
      <protection/>
    </xf>
    <xf numFmtId="164" fontId="14" fillId="0" borderId="0" xfId="18" applyNumberFormat="1" applyFont="1" applyFill="1" applyBorder="1" applyAlignment="1" quotePrefix="1">
      <alignment/>
    </xf>
    <xf numFmtId="164" fontId="8" fillId="2" borderId="0" xfId="18" applyNumberFormat="1" applyFont="1" applyFill="1" applyBorder="1" applyAlignment="1">
      <alignment horizontal="left"/>
    </xf>
    <xf numFmtId="164" fontId="8" fillId="2" borderId="3" xfId="18" applyNumberFormat="1" applyFont="1" applyFill="1" applyBorder="1" applyAlignment="1">
      <alignment horizontal="left"/>
    </xf>
    <xf numFmtId="164" fontId="4" fillId="2" borderId="3" xfId="18" applyNumberFormat="1" applyFont="1" applyFill="1" applyBorder="1" applyAlignment="1">
      <alignment/>
    </xf>
    <xf numFmtId="164" fontId="10" fillId="0" borderId="7" xfId="18" applyNumberFormat="1" applyFont="1" applyFill="1" applyBorder="1" applyAlignment="1">
      <alignment horizontal="centerContinuous"/>
    </xf>
    <xf numFmtId="164" fontId="10" fillId="0" borderId="0" xfId="18" applyNumberFormat="1" applyFont="1" applyFill="1" applyBorder="1" applyAlignment="1">
      <alignment horizontal="centerContinuous"/>
    </xf>
    <xf numFmtId="164" fontId="10" fillId="0" borderId="8" xfId="18" applyNumberFormat="1" applyFont="1" applyFill="1" applyBorder="1" applyAlignment="1">
      <alignment horizontal="center"/>
    </xf>
    <xf numFmtId="164" fontId="0" fillId="0" borderId="1" xfId="18" applyNumberFormat="1" applyFont="1" applyFill="1" applyBorder="1" applyAlignment="1">
      <alignment horizontal="centerContinuous"/>
    </xf>
    <xf numFmtId="0" fontId="0" fillId="0" borderId="0" xfId="26" applyFont="1" applyFill="1">
      <alignment/>
      <protection/>
    </xf>
    <xf numFmtId="0" fontId="22" fillId="0" borderId="0" xfId="27" applyFont="1" applyFill="1">
      <alignment/>
      <protection/>
    </xf>
    <xf numFmtId="39" fontId="22" fillId="0" borderId="0" xfId="27" applyNumberFormat="1" applyFont="1" applyFill="1">
      <alignment/>
      <protection/>
    </xf>
    <xf numFmtId="0" fontId="7" fillId="0" borderId="0" xfId="27" applyFont="1" applyFill="1">
      <alignment/>
      <protection/>
    </xf>
    <xf numFmtId="40" fontId="3" fillId="2" borderId="4" xfId="27" applyNumberFormat="1" applyFont="1" applyFill="1" applyBorder="1">
      <alignment/>
      <protection/>
    </xf>
    <xf numFmtId="0" fontId="5" fillId="2" borderId="5" xfId="27" applyFont="1" applyFill="1" applyBorder="1">
      <alignment/>
      <protection/>
    </xf>
    <xf numFmtId="0" fontId="5" fillId="2" borderId="6" xfId="27" applyFont="1" applyFill="1" applyBorder="1">
      <alignment/>
      <protection/>
    </xf>
    <xf numFmtId="0" fontId="7" fillId="0" borderId="0" xfId="27" applyFont="1" applyFill="1" quotePrefix="1">
      <alignment/>
      <protection/>
    </xf>
    <xf numFmtId="40" fontId="14" fillId="0" borderId="0" xfId="27" applyNumberFormat="1" applyFont="1" applyFill="1" applyBorder="1" applyAlignment="1">
      <alignment horizontal="right"/>
      <protection/>
    </xf>
    <xf numFmtId="0" fontId="4" fillId="2" borderId="7" xfId="27" applyFont="1" applyFill="1" applyBorder="1">
      <alignment/>
      <protection/>
    </xf>
    <xf numFmtId="39" fontId="5" fillId="2" borderId="0" xfId="27" applyNumberFormat="1" applyFont="1" applyFill="1" applyBorder="1">
      <alignment/>
      <protection/>
    </xf>
    <xf numFmtId="39" fontId="4" fillId="2" borderId="0" xfId="27" applyNumberFormat="1" applyFont="1" applyFill="1" applyBorder="1" applyAlignment="1">
      <alignment horizontal="center"/>
      <protection/>
    </xf>
    <xf numFmtId="0" fontId="5" fillId="2" borderId="3" xfId="27" applyFont="1" applyFill="1" applyBorder="1">
      <alignment/>
      <protection/>
    </xf>
    <xf numFmtId="173" fontId="7" fillId="0" borderId="0" xfId="27" applyNumberFormat="1" applyFont="1" applyFill="1" applyBorder="1">
      <alignment/>
      <protection/>
    </xf>
    <xf numFmtId="0" fontId="8" fillId="2" borderId="7" xfId="27" applyFont="1" applyFill="1" applyBorder="1">
      <alignment/>
      <protection/>
    </xf>
    <xf numFmtId="39" fontId="23" fillId="2" borderId="0" xfId="27" applyNumberFormat="1" applyFont="1" applyFill="1" applyBorder="1">
      <alignment/>
      <protection/>
    </xf>
    <xf numFmtId="39" fontId="24" fillId="2" borderId="0" xfId="27" applyNumberFormat="1" applyFont="1" applyFill="1" applyBorder="1" applyAlignment="1">
      <alignment horizontal="center"/>
      <protection/>
    </xf>
    <xf numFmtId="0" fontId="23" fillId="2" borderId="3" xfId="27" applyFont="1" applyFill="1" applyBorder="1">
      <alignment/>
      <protection/>
    </xf>
    <xf numFmtId="0" fontId="22" fillId="0" borderId="0" xfId="27" applyFont="1" applyFill="1" quotePrefix="1">
      <alignment/>
      <protection/>
    </xf>
    <xf numFmtId="19" fontId="22" fillId="0" borderId="0" xfId="27" applyNumberFormat="1" applyFont="1" applyFill="1" applyBorder="1">
      <alignment/>
      <protection/>
    </xf>
    <xf numFmtId="0" fontId="8" fillId="2" borderId="14" xfId="27" applyFont="1" applyFill="1" applyBorder="1">
      <alignment/>
      <protection/>
    </xf>
    <xf numFmtId="39" fontId="23" fillId="2" borderId="10" xfId="27" applyNumberFormat="1" applyFont="1" applyFill="1" applyBorder="1">
      <alignment/>
      <protection/>
    </xf>
    <xf numFmtId="39" fontId="24" fillId="2" borderId="10" xfId="27" applyNumberFormat="1" applyFont="1" applyFill="1" applyBorder="1" applyAlignment="1">
      <alignment horizontal="center"/>
      <protection/>
    </xf>
    <xf numFmtId="39" fontId="23" fillId="2" borderId="11" xfId="27" applyNumberFormat="1" applyFont="1" applyFill="1" applyBorder="1">
      <alignment/>
      <protection/>
    </xf>
    <xf numFmtId="19" fontId="22" fillId="0" borderId="0" xfId="27" applyNumberFormat="1" applyFont="1" applyFill="1">
      <alignment/>
      <protection/>
    </xf>
    <xf numFmtId="0" fontId="0" fillId="0" borderId="1" xfId="27" applyFont="1" applyFill="1" applyBorder="1">
      <alignment/>
      <protection/>
    </xf>
    <xf numFmtId="39" fontId="10" fillId="0" borderId="9" xfId="27" applyNumberFormat="1" applyFont="1" applyFill="1" applyBorder="1" applyAlignment="1">
      <alignment horizontal="center"/>
      <protection/>
    </xf>
    <xf numFmtId="39" fontId="10" fillId="0" borderId="1" xfId="27" applyNumberFormat="1" applyFont="1" applyFill="1" applyBorder="1" applyAlignment="1">
      <alignment horizontal="center"/>
      <protection/>
    </xf>
    <xf numFmtId="39" fontId="10" fillId="0" borderId="1" xfId="27" applyNumberFormat="1" applyFont="1" applyFill="1" applyBorder="1" applyAlignment="1">
      <alignment horizontal="center" wrapText="1"/>
      <protection/>
    </xf>
    <xf numFmtId="39" fontId="10" fillId="0" borderId="9" xfId="27" applyNumberFormat="1" applyFont="1" applyFill="1" applyBorder="1" applyAlignment="1">
      <alignment horizontal="center" vertical="top"/>
      <protection/>
    </xf>
    <xf numFmtId="39" fontId="10" fillId="0" borderId="1" xfId="27" applyNumberFormat="1" applyFont="1" applyFill="1" applyBorder="1" applyAlignment="1">
      <alignment horizontal="center" vertical="top"/>
      <protection/>
    </xf>
    <xf numFmtId="0" fontId="10" fillId="0" borderId="1" xfId="27" applyFont="1" applyFill="1" applyBorder="1">
      <alignment/>
      <protection/>
    </xf>
    <xf numFmtId="39" fontId="0" fillId="0" borderId="9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wrapText="1"/>
      <protection/>
    </xf>
    <xf numFmtId="39" fontId="0" fillId="0" borderId="1" xfId="27" applyNumberFormat="1" applyFont="1" applyFill="1" applyBorder="1" applyAlignment="1" quotePrefix="1">
      <alignment horizontal="center" wrapText="1"/>
      <protection/>
    </xf>
    <xf numFmtId="39" fontId="0" fillId="0" borderId="1" xfId="27" applyNumberFormat="1" applyFont="1" applyFill="1" applyBorder="1">
      <alignment/>
      <protection/>
    </xf>
    <xf numFmtId="39" fontId="0" fillId="0" borderId="9" xfId="27" applyNumberFormat="1" applyFont="1" applyFill="1" applyBorder="1">
      <alignment/>
      <protection/>
    </xf>
    <xf numFmtId="42" fontId="0" fillId="0" borderId="9" xfId="27" applyNumberFormat="1" applyFont="1" applyFill="1" applyBorder="1">
      <alignment/>
      <protection/>
    </xf>
    <xf numFmtId="42" fontId="0" fillId="0" borderId="1" xfId="27" applyNumberFormat="1" applyFont="1" applyFill="1" applyBorder="1">
      <alignment/>
      <protection/>
    </xf>
    <xf numFmtId="41" fontId="0" fillId="0" borderId="9" xfId="27" applyNumberFormat="1" applyFont="1" applyFill="1" applyBorder="1">
      <alignment/>
      <protection/>
    </xf>
    <xf numFmtId="41" fontId="0" fillId="0" borderId="1" xfId="27" applyNumberFormat="1" applyFont="1" applyFill="1" applyBorder="1">
      <alignment/>
      <protection/>
    </xf>
    <xf numFmtId="0" fontId="25" fillId="0" borderId="0" xfId="27" applyFont="1" applyFill="1">
      <alignment/>
      <protection/>
    </xf>
    <xf numFmtId="41" fontId="10" fillId="0" borderId="9" xfId="27" applyNumberFormat="1" applyFont="1" applyFill="1" applyBorder="1">
      <alignment/>
      <protection/>
    </xf>
    <xf numFmtId="41" fontId="10" fillId="0" borderId="1" xfId="27" applyNumberFormat="1" applyFont="1" applyFill="1" applyBorder="1">
      <alignment/>
      <protection/>
    </xf>
    <xf numFmtId="42" fontId="10" fillId="0" borderId="1" xfId="27" applyNumberFormat="1" applyFont="1" applyFill="1" applyBorder="1">
      <alignment/>
      <protection/>
    </xf>
    <xf numFmtId="0" fontId="0" fillId="0" borderId="0" xfId="27" applyFont="1" applyFill="1">
      <alignment/>
      <protection/>
    </xf>
    <xf numFmtId="39" fontId="0" fillId="0" borderId="0" xfId="27" applyNumberFormat="1" applyFont="1" applyFill="1">
      <alignment/>
      <protection/>
    </xf>
    <xf numFmtId="0" fontId="22" fillId="0" borderId="0" xfId="31" applyFont="1" applyFill="1">
      <alignment/>
      <protection/>
    </xf>
    <xf numFmtId="0" fontId="0" fillId="0" borderId="0" xfId="31" applyFont="1" applyFill="1" quotePrefix="1">
      <alignment/>
      <protection/>
    </xf>
    <xf numFmtId="39" fontId="0" fillId="0" borderId="0" xfId="31" applyNumberFormat="1" applyFont="1" applyFill="1">
      <alignment/>
      <protection/>
    </xf>
    <xf numFmtId="0" fontId="0" fillId="0" borderId="1" xfId="28" applyFont="1" applyFill="1" applyBorder="1">
      <alignment/>
      <protection/>
    </xf>
    <xf numFmtId="0" fontId="0" fillId="0" borderId="4" xfId="28" applyFont="1" applyFill="1" applyBorder="1">
      <alignment/>
      <protection/>
    </xf>
    <xf numFmtId="0" fontId="0" fillId="0" borderId="5" xfId="28" applyFont="1" applyFill="1" applyBorder="1">
      <alignment/>
      <protection/>
    </xf>
    <xf numFmtId="0" fontId="0" fillId="0" borderId="6" xfId="28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8" applyFont="1" applyFill="1" applyBorder="1">
      <alignment/>
      <protection/>
    </xf>
    <xf numFmtId="0" fontId="3" fillId="2" borderId="4" xfId="28" applyFont="1" applyFill="1" applyBorder="1">
      <alignment/>
      <protection/>
    </xf>
    <xf numFmtId="0" fontId="3" fillId="2" borderId="5" xfId="28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10" fillId="0" borderId="6" xfId="28" applyFont="1" applyFill="1" applyBorder="1" applyAlignment="1">
      <alignment horizontal="right"/>
      <protection/>
    </xf>
    <xf numFmtId="0" fontId="10" fillId="0" borderId="1" xfId="28" applyFont="1" applyFill="1" applyBorder="1" quotePrefix="1">
      <alignment/>
      <protection/>
    </xf>
    <xf numFmtId="0" fontId="4" fillId="2" borderId="7" xfId="28" applyFont="1" applyFill="1" applyBorder="1">
      <alignment/>
      <protection/>
    </xf>
    <xf numFmtId="0" fontId="4" fillId="2" borderId="0" xfId="28" applyFont="1" applyFill="1" applyBorder="1">
      <alignment/>
      <protection/>
    </xf>
    <xf numFmtId="174" fontId="0" fillId="0" borderId="3" xfId="28" applyNumberFormat="1" applyFont="1" applyFill="1" applyBorder="1">
      <alignment/>
      <protection/>
    </xf>
    <xf numFmtId="0" fontId="8" fillId="2" borderId="7" xfId="28" applyFont="1" applyFill="1" applyBorder="1">
      <alignment/>
      <protection/>
    </xf>
    <xf numFmtId="0" fontId="8" fillId="2" borderId="0" xfId="28" applyFont="1" applyFill="1" applyBorder="1">
      <alignment/>
      <protection/>
    </xf>
    <xf numFmtId="18" fontId="0" fillId="0" borderId="3" xfId="28" applyNumberFormat="1" applyFont="1" applyFill="1" applyBorder="1">
      <alignment/>
      <protection/>
    </xf>
    <xf numFmtId="0" fontId="0" fillId="2" borderId="14" xfId="28" applyFont="1" applyFill="1" applyBorder="1">
      <alignment/>
      <protection/>
    </xf>
    <xf numFmtId="0" fontId="8" fillId="2" borderId="10" xfId="28" applyFont="1" applyFill="1" applyBorder="1">
      <alignment/>
      <protection/>
    </xf>
    <xf numFmtId="18" fontId="0" fillId="0" borderId="11" xfId="28" applyNumberFormat="1" applyFont="1" applyFill="1" applyBorder="1">
      <alignment/>
      <protection/>
    </xf>
    <xf numFmtId="0" fontId="10" fillId="0" borderId="1" xfId="28" applyFont="1" applyFill="1" applyBorder="1">
      <alignment/>
      <protection/>
    </xf>
    <xf numFmtId="0" fontId="10" fillId="0" borderId="4" xfId="28" applyFont="1" applyFill="1" applyBorder="1">
      <alignment/>
      <protection/>
    </xf>
    <xf numFmtId="0" fontId="10" fillId="0" borderId="5" xfId="28" applyFont="1" applyFill="1" applyBorder="1">
      <alignment/>
      <protection/>
    </xf>
    <xf numFmtId="0" fontId="10" fillId="0" borderId="6" xfId="28" applyFont="1" applyFill="1" applyBorder="1">
      <alignment/>
      <protection/>
    </xf>
    <xf numFmtId="41" fontId="10" fillId="0" borderId="2" xfId="15" applyFont="1" applyFill="1" applyBorder="1">
      <alignment horizontal="center" wrapText="1"/>
      <protection/>
    </xf>
    <xf numFmtId="0" fontId="10" fillId="0" borderId="8" xfId="28" applyFont="1" applyFill="1" applyBorder="1">
      <alignment/>
      <protection/>
    </xf>
    <xf numFmtId="0" fontId="10" fillId="0" borderId="7" xfId="28" applyFont="1" applyFill="1" applyBorder="1">
      <alignment/>
      <protection/>
    </xf>
    <xf numFmtId="0" fontId="10" fillId="0" borderId="0" xfId="28" applyFont="1" applyFill="1" applyBorder="1">
      <alignment/>
      <protection/>
    </xf>
    <xf numFmtId="0" fontId="10" fillId="0" borderId="3" xfId="28" applyFont="1" applyFill="1" applyBorder="1">
      <alignment/>
      <protection/>
    </xf>
    <xf numFmtId="41" fontId="10" fillId="0" borderId="15" xfId="15" applyFont="1" applyFill="1" applyBorder="1">
      <alignment horizontal="center" wrapText="1"/>
      <protection/>
    </xf>
    <xf numFmtId="41" fontId="10" fillId="0" borderId="15" xfId="15" applyFont="1" applyFill="1" applyBorder="1" applyAlignment="1">
      <alignment horizontal="center" wrapText="1"/>
      <protection/>
    </xf>
    <xf numFmtId="0" fontId="10" fillId="0" borderId="14" xfId="28" applyFont="1" applyFill="1" applyBorder="1">
      <alignment/>
      <protection/>
    </xf>
    <xf numFmtId="0" fontId="10" fillId="0" borderId="10" xfId="28" applyFont="1" applyFill="1" applyBorder="1">
      <alignment/>
      <protection/>
    </xf>
    <xf numFmtId="0" fontId="10" fillId="0" borderId="11" xfId="28" applyFont="1" applyFill="1" applyBorder="1">
      <alignment/>
      <protection/>
    </xf>
    <xf numFmtId="0" fontId="10" fillId="0" borderId="0" xfId="28" applyFont="1" applyAlignment="1">
      <alignment horizontal="center"/>
      <protection/>
    </xf>
    <xf numFmtId="41" fontId="10" fillId="0" borderId="16" xfId="15" applyFont="1" applyFill="1" applyBorder="1">
      <alignment horizontal="center" wrapText="1"/>
      <protection/>
    </xf>
    <xf numFmtId="0" fontId="10" fillId="0" borderId="16" xfId="28" applyFont="1" applyBorder="1" applyAlignment="1">
      <alignment horizontal="center"/>
      <protection/>
    </xf>
    <xf numFmtId="0" fontId="10" fillId="0" borderId="12" xfId="28" applyFont="1" applyFill="1" applyBorder="1">
      <alignment/>
      <protection/>
    </xf>
    <xf numFmtId="0" fontId="10" fillId="0" borderId="9" xfId="28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10" fillId="0" borderId="12" xfId="28" applyFont="1" applyFill="1" applyBorder="1" applyAlignment="1">
      <alignment horizontal="left"/>
      <protection/>
    </xf>
    <xf numFmtId="0" fontId="10" fillId="0" borderId="9" xfId="28" applyFont="1" applyFill="1" applyBorder="1" applyAlignment="1">
      <alignment horizontal="left"/>
      <protection/>
    </xf>
    <xf numFmtId="41" fontId="10" fillId="0" borderId="1" xfId="15" applyFont="1" applyFill="1" applyBorder="1">
      <alignment horizontal="center" wrapText="1"/>
      <protection/>
    </xf>
    <xf numFmtId="41" fontId="10" fillId="0" borderId="9" xfId="15" applyFont="1" applyFill="1" applyBorder="1">
      <alignment horizontal="center" wrapText="1"/>
      <protection/>
    </xf>
    <xf numFmtId="41" fontId="10" fillId="0" borderId="1" xfId="15" applyFont="1" applyFill="1">
      <alignment horizontal="center" wrapText="1"/>
      <protection/>
    </xf>
    <xf numFmtId="0" fontId="0" fillId="0" borderId="12" xfId="28" applyFont="1" applyFill="1" applyBorder="1">
      <alignment/>
      <protection/>
    </xf>
    <xf numFmtId="0" fontId="0" fillId="0" borderId="9" xfId="28" applyFont="1" applyFill="1" applyBorder="1">
      <alignment/>
      <protection/>
    </xf>
    <xf numFmtId="42" fontId="10" fillId="0" borderId="1" xfId="15" applyNumberFormat="1" applyFont="1" applyFill="1" applyBorder="1">
      <alignment horizontal="center" wrapText="1"/>
      <protection/>
    </xf>
    <xf numFmtId="42" fontId="10" fillId="0" borderId="9" xfId="15" applyNumberFormat="1" applyFont="1" applyFill="1" applyBorder="1">
      <alignment horizontal="center" wrapText="1"/>
      <protection/>
    </xf>
    <xf numFmtId="42" fontId="10" fillId="0" borderId="1" xfId="15" applyNumberFormat="1" applyFont="1" applyFill="1">
      <alignment horizontal="center" wrapText="1"/>
      <protection/>
    </xf>
    <xf numFmtId="0" fontId="0" fillId="0" borderId="12" xfId="28" applyFont="1" applyFill="1" applyBorder="1" applyAlignment="1">
      <alignment horizontal="right"/>
      <protection/>
    </xf>
    <xf numFmtId="0" fontId="0" fillId="0" borderId="9" xfId="28" applyFont="1" applyFill="1" applyBorder="1" applyAlignment="1">
      <alignment horizontal="right"/>
      <protection/>
    </xf>
    <xf numFmtId="0" fontId="10" fillId="0" borderId="12" xfId="28" applyFont="1" applyFill="1" applyBorder="1" applyAlignment="1">
      <alignment/>
      <protection/>
    </xf>
    <xf numFmtId="0" fontId="10" fillId="0" borderId="9" xfId="28" applyFont="1" applyFill="1" applyBorder="1" applyAlignment="1">
      <alignment/>
      <protection/>
    </xf>
    <xf numFmtId="0" fontId="10" fillId="0" borderId="8" xfId="28" applyFont="1" applyFill="1" applyBorder="1" applyAlignment="1">
      <alignment horizontal="left"/>
      <protection/>
    </xf>
    <xf numFmtId="0" fontId="0" fillId="0" borderId="0" xfId="29" applyFont="1" applyFill="1" applyAlignment="1">
      <alignment wrapText="1"/>
      <protection/>
    </xf>
    <xf numFmtId="0" fontId="0" fillId="0" borderId="0" xfId="29" applyFont="1" applyFill="1" applyBorder="1" applyAlignment="1">
      <alignment/>
      <protection/>
    </xf>
    <xf numFmtId="0" fontId="0" fillId="0" borderId="0" xfId="29" applyFont="1" applyFill="1" applyBorder="1" applyAlignment="1">
      <alignment wrapText="1"/>
      <protection/>
    </xf>
    <xf numFmtId="0" fontId="0" fillId="0" borderId="0" xfId="29" applyFont="1">
      <alignment/>
      <protection/>
    </xf>
    <xf numFmtId="0" fontId="7" fillId="0" borderId="0" xfId="29" applyFont="1" applyFill="1">
      <alignment/>
      <protection/>
    </xf>
    <xf numFmtId="0" fontId="3" fillId="2" borderId="4" xfId="29" applyFont="1" applyFill="1" applyBorder="1" applyAlignment="1">
      <alignment horizontal="left"/>
      <protection/>
    </xf>
    <xf numFmtId="0" fontId="4" fillId="2" borderId="5" xfId="29" applyFont="1" applyFill="1" applyBorder="1" applyAlignment="1">
      <alignment horizontal="left"/>
      <protection/>
    </xf>
    <xf numFmtId="0" fontId="4" fillId="2" borderId="6" xfId="29" applyFont="1" applyFill="1" applyBorder="1" applyAlignment="1">
      <alignment horizontal="left"/>
      <protection/>
    </xf>
    <xf numFmtId="0" fontId="7" fillId="0" borderId="0" xfId="29" applyFont="1" quotePrefix="1">
      <alignment/>
      <protection/>
    </xf>
    <xf numFmtId="0" fontId="7" fillId="0" borderId="0" xfId="29" applyFont="1">
      <alignment/>
      <protection/>
    </xf>
    <xf numFmtId="0" fontId="4" fillId="2" borderId="7" xfId="29" applyFont="1" applyFill="1" applyBorder="1" applyAlignment="1">
      <alignment horizontal="left"/>
      <protection/>
    </xf>
    <xf numFmtId="0" fontId="4" fillId="2" borderId="0" xfId="29" applyFont="1" applyFill="1" applyBorder="1" applyAlignment="1">
      <alignment horizontal="left"/>
      <protection/>
    </xf>
    <xf numFmtId="0" fontId="4" fillId="2" borderId="3" xfId="29" applyFont="1" applyFill="1" applyBorder="1" applyAlignment="1">
      <alignment horizontal="left"/>
      <protection/>
    </xf>
    <xf numFmtId="0" fontId="0" fillId="0" borderId="0" xfId="29" applyFont="1" applyFill="1">
      <alignment/>
      <protection/>
    </xf>
    <xf numFmtId="0" fontId="8" fillId="2" borderId="7" xfId="29" applyFont="1" applyFill="1" applyBorder="1" applyAlignment="1">
      <alignment horizontal="left"/>
      <protection/>
    </xf>
    <xf numFmtId="0" fontId="8" fillId="2" borderId="0" xfId="29" applyFont="1" applyFill="1" applyBorder="1" applyAlignment="1">
      <alignment horizontal="left"/>
      <protection/>
    </xf>
    <xf numFmtId="0" fontId="8" fillId="2" borderId="3" xfId="29" applyFont="1" applyFill="1" applyBorder="1" applyAlignment="1">
      <alignment horizontal="left"/>
      <protection/>
    </xf>
    <xf numFmtId="0" fontId="0" fillId="0" borderId="0" xfId="29" applyFont="1" quotePrefix="1">
      <alignment/>
      <protection/>
    </xf>
    <xf numFmtId="0" fontId="13" fillId="2" borderId="14" xfId="29" applyFont="1" applyFill="1" applyBorder="1">
      <alignment/>
      <protection/>
    </xf>
    <xf numFmtId="0" fontId="13" fillId="2" borderId="10" xfId="29" applyFont="1" applyFill="1" applyBorder="1" applyAlignment="1">
      <alignment/>
      <protection/>
    </xf>
    <xf numFmtId="0" fontId="13" fillId="2" borderId="10" xfId="29" applyFont="1" applyFill="1" applyBorder="1">
      <alignment/>
      <protection/>
    </xf>
    <xf numFmtId="0" fontId="13" fillId="2" borderId="11" xfId="29" applyFont="1" applyFill="1" applyBorder="1">
      <alignment/>
      <protection/>
    </xf>
    <xf numFmtId="40" fontId="10" fillId="0" borderId="8" xfId="29" applyNumberFormat="1" applyFont="1" applyFill="1" applyBorder="1" applyAlignment="1">
      <alignment horizontal="centerContinuous"/>
      <protection/>
    </xf>
    <xf numFmtId="40" fontId="10" fillId="0" borderId="9" xfId="29" applyNumberFormat="1" applyFont="1" applyFill="1" applyBorder="1" applyAlignment="1">
      <alignment horizontal="centerContinuous"/>
      <protection/>
    </xf>
    <xf numFmtId="40" fontId="10" fillId="0" borderId="1" xfId="29" applyNumberFormat="1" applyFont="1" applyFill="1" applyBorder="1" applyAlignment="1">
      <alignment horizontal="center" wrapText="1"/>
      <protection/>
    </xf>
    <xf numFmtId="40" fontId="10" fillId="0" borderId="1" xfId="29" applyNumberFormat="1" applyFont="1" applyFill="1" applyBorder="1" applyAlignment="1">
      <alignment horizontal="centerContinuous"/>
      <protection/>
    </xf>
    <xf numFmtId="0" fontId="10" fillId="0" borderId="8" xfId="29" applyFont="1" applyFill="1" applyBorder="1" applyAlignment="1">
      <alignment horizontal="left"/>
      <protection/>
    </xf>
    <xf numFmtId="0" fontId="10" fillId="0" borderId="9" xfId="29" applyFont="1" applyFill="1" applyBorder="1" applyAlignment="1">
      <alignment horizontal="left"/>
      <protection/>
    </xf>
    <xf numFmtId="40" fontId="0" fillId="0" borderId="1" xfId="29" applyNumberFormat="1" applyFont="1" applyFill="1" applyBorder="1">
      <alignment/>
      <protection/>
    </xf>
    <xf numFmtId="0" fontId="0" fillId="0" borderId="8" xfId="29" applyFont="1" applyFill="1" applyBorder="1">
      <alignment/>
      <protection/>
    </xf>
    <xf numFmtId="0" fontId="0" fillId="0" borderId="9" xfId="29" applyFont="1" applyFill="1" applyBorder="1" applyAlignment="1">
      <alignment/>
      <protection/>
    </xf>
    <xf numFmtId="42" fontId="0" fillId="0" borderId="1" xfId="20" applyNumberFormat="1" applyFont="1" applyFill="1" applyBorder="1" applyAlignment="1">
      <alignment/>
    </xf>
    <xf numFmtId="41" fontId="0" fillId="0" borderId="1" xfId="29" applyNumberFormat="1" applyFont="1" applyFill="1" applyBorder="1">
      <alignment/>
      <protection/>
    </xf>
    <xf numFmtId="0" fontId="10" fillId="0" borderId="0" xfId="29" applyFont="1" applyFill="1" applyBorder="1">
      <alignment/>
      <protection/>
    </xf>
    <xf numFmtId="41" fontId="10" fillId="0" borderId="1" xfId="29" applyNumberFormat="1" applyFont="1" applyFill="1" applyBorder="1">
      <alignment/>
      <protection/>
    </xf>
    <xf numFmtId="0" fontId="10" fillId="0" borderId="8" xfId="29" applyFont="1" applyFill="1" applyBorder="1">
      <alignment/>
      <protection/>
    </xf>
    <xf numFmtId="0" fontId="10" fillId="0" borderId="9" xfId="29" applyFont="1" applyFill="1" applyBorder="1" applyAlignment="1">
      <alignment/>
      <protection/>
    </xf>
    <xf numFmtId="0" fontId="10" fillId="0" borderId="0" xfId="29" applyFont="1" applyFill="1">
      <alignment/>
      <protection/>
    </xf>
    <xf numFmtId="164" fontId="14" fillId="0" borderId="0" xfId="18" applyNumberFormat="1" applyFont="1" applyFill="1" applyAlignment="1">
      <alignment/>
    </xf>
    <xf numFmtId="164" fontId="14" fillId="0" borderId="0" xfId="18" applyNumberFormat="1" applyFont="1" applyFill="1" applyBorder="1" applyAlignment="1">
      <alignment/>
    </xf>
    <xf numFmtId="42" fontId="10" fillId="0" borderId="1" xfId="20" applyNumberFormat="1" applyFont="1" applyFill="1" applyBorder="1" applyAlignment="1">
      <alignment/>
    </xf>
    <xf numFmtId="0" fontId="0" fillId="0" borderId="0" xfId="29" applyFont="1" applyBorder="1" applyAlignment="1">
      <alignment/>
      <protection/>
    </xf>
    <xf numFmtId="0" fontId="0" fillId="0" borderId="0" xfId="29" applyFont="1" applyFill="1" applyBorder="1">
      <alignment/>
      <protection/>
    </xf>
    <xf numFmtId="0" fontId="0" fillId="0" borderId="0" xfId="29" applyFont="1" applyBorder="1">
      <alignment/>
      <protection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1" xfId="16" applyFill="1">
      <alignment horizontal="center" wrapText="1"/>
      <protection/>
    </xf>
    <xf numFmtId="0" fontId="7" fillId="0" borderId="8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1" fontId="5" fillId="2" borderId="1" xfId="16" applyFont="1" applyFill="1">
      <alignment horizontal="center" wrapText="1"/>
      <protection/>
    </xf>
    <xf numFmtId="41" fontId="4" fillId="2" borderId="1" xfId="16" applyFont="1" applyFill="1">
      <alignment horizontal="center" wrapText="1"/>
      <protection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 quotePrefix="1">
      <alignment/>
    </xf>
    <xf numFmtId="0" fontId="7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2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41" fontId="13" fillId="2" borderId="1" xfId="16" applyFont="1" applyFill="1">
      <alignment horizontal="center" wrapText="1"/>
      <protection/>
    </xf>
    <xf numFmtId="41" fontId="8" fillId="2" borderId="1" xfId="16" applyFont="1" applyFill="1">
      <alignment horizontal="center" wrapText="1"/>
      <protection/>
    </xf>
    <xf numFmtId="0" fontId="0" fillId="0" borderId="9" xfId="0" applyFill="1" applyBorder="1" applyAlignment="1">
      <alignment/>
    </xf>
    <xf numFmtId="0" fontId="0" fillId="0" borderId="1" xfId="0" applyFill="1" applyBorder="1" applyAlignment="1" quotePrefix="1">
      <alignment/>
    </xf>
    <xf numFmtId="0" fontId="8" fillId="2" borderId="7" xfId="0" applyFont="1" applyFill="1" applyBorder="1" applyAlignment="1">
      <alignment/>
    </xf>
    <xf numFmtId="19" fontId="0" fillId="0" borderId="9" xfId="0" applyNumberForma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41" fontId="10" fillId="0" borderId="2" xfId="16" applyFont="1" applyFill="1" applyBorder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1" fontId="10" fillId="0" borderId="16" xfId="16" applyFont="1" applyFill="1" applyBorder="1">
      <alignment horizontal="center" wrapText="1"/>
      <protection/>
    </xf>
    <xf numFmtId="0" fontId="10" fillId="0" borderId="8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2" fontId="0" fillId="0" borderId="1" xfId="16" applyNumberFormat="1" applyFill="1">
      <alignment horizontal="center" wrapText="1"/>
      <protection/>
    </xf>
    <xf numFmtId="0" fontId="10" fillId="0" borderId="1" xfId="0" applyFont="1" applyFill="1" applyBorder="1" applyAlignment="1">
      <alignment/>
    </xf>
    <xf numFmtId="0" fontId="10" fillId="0" borderId="12" xfId="0" applyFont="1" applyFill="1" applyBorder="1" applyAlignment="1">
      <alignment horizontal="left" indent="1"/>
    </xf>
    <xf numFmtId="41" fontId="10" fillId="0" borderId="1" xfId="16" applyFont="1" applyFill="1" applyBorder="1">
      <alignment horizontal="center" wrapText="1"/>
      <protection/>
    </xf>
    <xf numFmtId="41" fontId="0" fillId="0" borderId="1" xfId="16" applyFill="1" applyBorder="1">
      <alignment horizontal="center" wrapText="1"/>
      <protection/>
    </xf>
    <xf numFmtId="41" fontId="10" fillId="0" borderId="1" xfId="16" applyFont="1" applyFill="1">
      <alignment horizontal="center" wrapText="1"/>
      <protection/>
    </xf>
    <xf numFmtId="42" fontId="10" fillId="0" borderId="1" xfId="0" applyNumberFormat="1" applyFont="1" applyFill="1" applyBorder="1" applyAlignment="1">
      <alignment/>
    </xf>
    <xf numFmtId="42" fontId="10" fillId="0" borderId="8" xfId="0" applyNumberFormat="1" applyFont="1" applyFill="1" applyBorder="1" applyAlignment="1">
      <alignment/>
    </xf>
    <xf numFmtId="42" fontId="10" fillId="0" borderId="12" xfId="0" applyNumberFormat="1" applyFont="1" applyFill="1" applyBorder="1" applyAlignment="1">
      <alignment/>
    </xf>
    <xf numFmtId="42" fontId="10" fillId="0" borderId="1" xfId="16" applyNumberFormat="1" applyFont="1" applyFill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2" xfId="17" applyFont="1" applyFill="1" applyBorder="1" applyAlignment="1">
      <alignment/>
      <protection/>
    </xf>
    <xf numFmtId="41" fontId="0" fillId="0" borderId="9" xfId="1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8" fillId="0" borderId="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41" fontId="0" fillId="2" borderId="4" xfId="17" applyFont="1" applyFill="1" applyBorder="1" applyAlignment="1">
      <alignment/>
      <protection/>
    </xf>
    <xf numFmtId="41" fontId="0" fillId="2" borderId="5" xfId="17" applyFont="1" applyFill="1" applyBorder="1" applyAlignment="1">
      <alignment/>
      <protection/>
    </xf>
    <xf numFmtId="41" fontId="0" fillId="2" borderId="5" xfId="17" applyFont="1" applyFill="1" applyBorder="1" applyAlignment="1">
      <alignment horizontal="center"/>
      <protection/>
    </xf>
    <xf numFmtId="41" fontId="0" fillId="2" borderId="5" xfId="17" applyFont="1" applyFill="1" applyBorder="1" applyAlignment="1">
      <alignment horizontal="left"/>
      <protection/>
    </xf>
    <xf numFmtId="41" fontId="0" fillId="2" borderId="6" xfId="17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0" fontId="18" fillId="0" borderId="9" xfId="0" applyFont="1" applyFill="1" applyBorder="1" applyAlignment="1" quotePrefix="1">
      <alignment/>
    </xf>
    <xf numFmtId="0" fontId="18" fillId="0" borderId="1" xfId="0" applyFont="1" applyFill="1" applyBorder="1" applyAlignment="1" quotePrefix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0" fillId="2" borderId="7" xfId="17" applyFont="1" applyFill="1" applyBorder="1" applyAlignment="1">
      <alignment/>
      <protection/>
    </xf>
    <xf numFmtId="41" fontId="0" fillId="2" borderId="0" xfId="17" applyFont="1" applyFill="1" applyBorder="1" applyAlignment="1">
      <alignment/>
      <protection/>
    </xf>
    <xf numFmtId="41" fontId="0" fillId="2" borderId="0" xfId="17" applyFont="1" applyFill="1" applyBorder="1" applyAlignment="1">
      <alignment horizontal="center"/>
      <protection/>
    </xf>
    <xf numFmtId="41" fontId="0" fillId="2" borderId="0" xfId="17" applyFont="1" applyFill="1" applyBorder="1" applyAlignment="1">
      <alignment horizontal="left"/>
      <protection/>
    </xf>
    <xf numFmtId="41" fontId="0" fillId="2" borderId="3" xfId="17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41" fontId="0" fillId="2" borderId="14" xfId="17" applyFont="1" applyFill="1" applyBorder="1" applyAlignment="1">
      <alignment/>
      <protection/>
    </xf>
    <xf numFmtId="41" fontId="0" fillId="2" borderId="10" xfId="17" applyFont="1" applyFill="1" applyBorder="1" applyAlignment="1">
      <alignment/>
      <protection/>
    </xf>
    <xf numFmtId="41" fontId="0" fillId="2" borderId="11" xfId="17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41" fontId="10" fillId="0" borderId="2" xfId="17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41" fontId="10" fillId="0" borderId="15" xfId="17" applyFont="1" applyFill="1" applyBorder="1" applyAlignment="1">
      <alignment horizontal="center" wrapText="1"/>
      <protection/>
    </xf>
    <xf numFmtId="0" fontId="1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6" xfId="17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7" applyFont="1" applyFill="1" applyBorder="1" applyAlignment="1">
      <alignment horizontal="left"/>
      <protection/>
    </xf>
    <xf numFmtId="41" fontId="0" fillId="0" borderId="9" xfId="17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41" fontId="0" fillId="0" borderId="1" xfId="17" applyFont="1" applyFill="1" applyBorder="1" applyAlignment="1">
      <alignment/>
      <protection/>
    </xf>
    <xf numFmtId="42" fontId="0" fillId="0" borderId="2" xfId="17" applyNumberFormat="1" applyFont="1" applyFill="1" applyBorder="1" applyAlignment="1">
      <alignment/>
      <protection/>
    </xf>
    <xf numFmtId="42" fontId="0" fillId="0" borderId="9" xfId="17" applyNumberFormat="1" applyFont="1" applyFill="1" applyBorder="1" applyAlignment="1">
      <alignment/>
      <protection/>
    </xf>
    <xf numFmtId="0" fontId="10" fillId="0" borderId="9" xfId="0" applyFont="1" applyFill="1" applyBorder="1" applyAlignment="1">
      <alignment horizontal="left" indent="1"/>
    </xf>
    <xf numFmtId="41" fontId="10" fillId="0" borderId="1" xfId="17" applyFont="1" applyFill="1" applyBorder="1" applyAlignment="1">
      <alignment/>
      <protection/>
    </xf>
    <xf numFmtId="41" fontId="10" fillId="0" borderId="9" xfId="17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41" fontId="10" fillId="0" borderId="9" xfId="17" applyFont="1" applyFill="1" applyBorder="1" applyAlignment="1">
      <alignment horizontal="right"/>
      <protection/>
    </xf>
    <xf numFmtId="41" fontId="0" fillId="0" borderId="9" xfId="17" applyFont="1" applyFill="1" applyBorder="1" applyAlignment="1">
      <alignment horizontal="right"/>
      <protection/>
    </xf>
    <xf numFmtId="42" fontId="10" fillId="0" borderId="1" xfId="17" applyNumberFormat="1" applyFont="1" applyFill="1" applyBorder="1" applyAlignment="1">
      <alignment/>
      <protection/>
    </xf>
    <xf numFmtId="42" fontId="10" fillId="0" borderId="9" xfId="17" applyNumberFormat="1" applyFont="1" applyFill="1" applyBorder="1" applyAlignment="1">
      <alignment/>
      <protection/>
    </xf>
    <xf numFmtId="0" fontId="2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10" fillId="0" borderId="1" xfId="0" applyFont="1" applyFill="1" applyBorder="1" applyAlignment="1" quotePrefix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41" fontId="10" fillId="0" borderId="16" xfId="15" applyFont="1" applyFill="1" applyBorder="1" applyAlignment="1">
      <alignment horizontal="center" wrapText="1"/>
      <protection/>
    </xf>
    <xf numFmtId="0" fontId="10" fillId="0" borderId="1" xfId="0" applyNumberFormat="1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64" fontId="18" fillId="0" borderId="0" xfId="18" applyNumberFormat="1" applyFont="1" applyFill="1" applyAlignment="1">
      <alignment/>
    </xf>
    <xf numFmtId="164" fontId="3" fillId="2" borderId="7" xfId="18" applyNumberFormat="1" applyFont="1" applyFill="1" applyBorder="1" applyAlignment="1">
      <alignment/>
    </xf>
    <xf numFmtId="164" fontId="3" fillId="2" borderId="0" xfId="18" applyNumberFormat="1" applyFont="1" applyFill="1" applyAlignment="1">
      <alignment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Alignment="1">
      <alignment/>
    </xf>
    <xf numFmtId="0" fontId="8" fillId="2" borderId="0" xfId="0" applyFont="1" applyFill="1" applyAlignment="1">
      <alignment horizontal="left"/>
    </xf>
    <xf numFmtId="164" fontId="10" fillId="0" borderId="16" xfId="18" applyNumberFormat="1" applyFont="1" applyFill="1" applyBorder="1" applyAlignment="1" quotePrefix="1">
      <alignment horizontal="center"/>
    </xf>
    <xf numFmtId="43" fontId="0" fillId="0" borderId="0" xfId="18" applyNumberFormat="1" applyFont="1" applyFill="1" applyBorder="1" applyAlignment="1">
      <alignment/>
    </xf>
    <xf numFmtId="0" fontId="3" fillId="2" borderId="4" xfId="0" applyFont="1" applyFill="1" applyBorder="1" applyAlignment="1" applyProtection="1">
      <alignment/>
      <protection/>
    </xf>
    <xf numFmtId="0" fontId="13" fillId="2" borderId="5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26" fillId="2" borderId="7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Continuous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176" fontId="27" fillId="0" borderId="24" xfId="0" applyNumberFormat="1" applyFont="1" applyFill="1" applyBorder="1" applyAlignment="1" applyProtection="1" quotePrefix="1">
      <alignment horizontal="center"/>
      <protection/>
    </xf>
    <xf numFmtId="0" fontId="27" fillId="0" borderId="7" xfId="0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176" fontId="27" fillId="0" borderId="25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Alignment="1" applyProtection="1">
      <alignment/>
      <protection/>
    </xf>
    <xf numFmtId="0" fontId="10" fillId="0" borderId="18" xfId="0" applyFont="1" applyBorder="1" applyAlignment="1">
      <alignment/>
    </xf>
    <xf numFmtId="0" fontId="0" fillId="0" borderId="18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6" xfId="0" applyFont="1" applyBorder="1" applyAlignment="1">
      <alignment/>
    </xf>
    <xf numFmtId="43" fontId="0" fillId="0" borderId="26" xfId="18" applyFont="1" applyBorder="1" applyAlignment="1" applyProtection="1">
      <alignment/>
      <protection/>
    </xf>
    <xf numFmtId="43" fontId="0" fillId="0" borderId="26" xfId="18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42" fontId="0" fillId="0" borderId="26" xfId="18" applyNumberFormat="1" applyFont="1" applyBorder="1" applyAlignment="1" applyProtection="1">
      <alignment/>
      <protection/>
    </xf>
    <xf numFmtId="42" fontId="0" fillId="0" borderId="26" xfId="18" applyNumberFormat="1" applyFont="1" applyFill="1" applyBorder="1" applyAlignment="1" applyProtection="1">
      <alignment/>
      <protection/>
    </xf>
    <xf numFmtId="41" fontId="0" fillId="0" borderId="26" xfId="18" applyNumberFormat="1" applyFont="1" applyBorder="1" applyAlignment="1" applyProtection="1">
      <alignment/>
      <protection/>
    </xf>
    <xf numFmtId="41" fontId="0" fillId="0" borderId="26" xfId="18" applyNumberFormat="1" applyFont="1" applyFill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23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/>
    </xf>
    <xf numFmtId="43" fontId="0" fillId="0" borderId="0" xfId="18" applyFont="1" applyAlignment="1" applyProtection="1">
      <alignment/>
      <protection/>
    </xf>
    <xf numFmtId="0" fontId="0" fillId="0" borderId="0" xfId="0" applyFont="1" applyFill="1" applyAlignment="1">
      <alignment horizontal="right"/>
    </xf>
    <xf numFmtId="43" fontId="0" fillId="0" borderId="0" xfId="0" applyNumberFormat="1" applyFont="1" applyAlignment="1">
      <alignment/>
    </xf>
    <xf numFmtId="39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40" fontId="4" fillId="2" borderId="1" xfId="0" applyNumberFormat="1" applyFont="1" applyFill="1" applyBorder="1" applyAlignment="1">
      <alignment/>
    </xf>
    <xf numFmtId="39" fontId="5" fillId="2" borderId="1" xfId="0" applyNumberFormat="1" applyFont="1" applyFill="1" applyBorder="1" applyAlignment="1">
      <alignment/>
    </xf>
    <xf numFmtId="43" fontId="5" fillId="2" borderId="1" xfId="0" applyNumberFormat="1" applyFont="1" applyFill="1" applyBorder="1" applyAlignment="1">
      <alignment/>
    </xf>
    <xf numFmtId="40" fontId="8" fillId="2" borderId="1" xfId="0" applyNumberFormat="1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43" fontId="13" fillId="2" borderId="1" xfId="0" applyNumberFormat="1" applyFont="1" applyFill="1" applyBorder="1" applyAlignment="1">
      <alignment/>
    </xf>
    <xf numFmtId="0" fontId="0" fillId="0" borderId="1" xfId="0" applyFill="1" applyBorder="1" applyAlignment="1" applyProtection="1" quotePrefix="1">
      <alignment/>
      <protection/>
    </xf>
    <xf numFmtId="0" fontId="10" fillId="3" borderId="1" xfId="0" applyFont="1" applyFill="1" applyBorder="1" applyAlignment="1">
      <alignment wrapText="1"/>
    </xf>
    <xf numFmtId="39" fontId="10" fillId="0" borderId="1" xfId="0" applyNumberFormat="1" applyFont="1" applyFill="1" applyBorder="1" applyAlignment="1">
      <alignment horizontal="center" wrapText="1"/>
    </xf>
    <xf numFmtId="43" fontId="10" fillId="0" borderId="1" xfId="0" applyNumberFormat="1" applyFont="1" applyFill="1" applyBorder="1" applyAlignment="1">
      <alignment horizontal="center" wrapText="1"/>
    </xf>
    <xf numFmtId="42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42" fontId="10" fillId="0" borderId="26" xfId="18" applyNumberFormat="1" applyFont="1" applyFill="1" applyBorder="1" applyAlignment="1" applyProtection="1">
      <alignment/>
      <protection/>
    </xf>
    <xf numFmtId="42" fontId="10" fillId="0" borderId="26" xfId="18" applyNumberFormat="1" applyFont="1" applyBorder="1" applyAlignment="1" applyProtection="1">
      <alignment/>
      <protection/>
    </xf>
    <xf numFmtId="0" fontId="10" fillId="0" borderId="0" xfId="0" applyFont="1" applyAlignment="1">
      <alignment/>
    </xf>
  </cellXfs>
  <cellStyles count="20">
    <cellStyle name="Normal" xfId="0"/>
    <cellStyle name="C00A" xfId="15"/>
    <cellStyle name="C00A_GASB13_R" xfId="16"/>
    <cellStyle name="C00A_GASB14_R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Comparative SRECNA FY 2001" xfId="24"/>
    <cellStyle name="Normal_GASB06_R" xfId="25"/>
    <cellStyle name="Normal_GASB07R" xfId="26"/>
    <cellStyle name="Normal_GASB09_R" xfId="27"/>
    <cellStyle name="Normal_GASB10_R" xfId="28"/>
    <cellStyle name="Normal_GASB11_R" xfId="29"/>
    <cellStyle name="Normal_GASBIS_R" xfId="30"/>
    <cellStyle name="Normal_Sheet1" xfId="31"/>
    <cellStyle name="Percent" xfId="32"/>
    <cellStyle name="Roun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2">
      <selection activeCell="A2" sqref="A2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2792</v>
      </c>
      <c r="B1" s="2" t="s">
        <v>2793</v>
      </c>
      <c r="C1" s="3" t="s">
        <v>2794</v>
      </c>
    </row>
    <row r="2" spans="1:5" s="10" customFormat="1" ht="15.75" customHeight="1">
      <c r="A2" s="5" t="s">
        <v>2795</v>
      </c>
      <c r="B2" s="6"/>
      <c r="C2" s="7"/>
      <c r="D2" s="8"/>
      <c r="E2" s="9"/>
    </row>
    <row r="3" spans="1:5" s="10" customFormat="1" ht="15.75" customHeight="1">
      <c r="A3" s="11" t="s">
        <v>2680</v>
      </c>
      <c r="B3" s="12"/>
      <c r="C3" s="13"/>
      <c r="D3" s="14"/>
      <c r="E3" s="15"/>
    </row>
    <row r="4" spans="1:5" s="10" customFormat="1" ht="15.75" customHeight="1">
      <c r="A4" s="11" t="s">
        <v>2773</v>
      </c>
      <c r="B4" s="16"/>
      <c r="C4" s="13"/>
      <c r="D4" s="14"/>
      <c r="E4" s="15"/>
    </row>
    <row r="5" spans="1:5" s="22" customFormat="1" ht="12.75" customHeight="1">
      <c r="A5" s="17" t="s">
        <v>2796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2006</v>
      </c>
      <c r="D6" s="26"/>
      <c r="E6" s="25">
        <v>2005</v>
      </c>
    </row>
    <row r="7" spans="1:5" s="29" customFormat="1" ht="12.75" customHeight="1">
      <c r="A7" s="23" t="s">
        <v>2797</v>
      </c>
      <c r="B7" s="24"/>
      <c r="C7" s="27"/>
      <c r="D7" s="28"/>
      <c r="E7" s="27"/>
    </row>
    <row r="8" spans="1:5" s="1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2798</v>
      </c>
      <c r="B9" s="24"/>
      <c r="C9" s="27"/>
      <c r="D9" s="28"/>
      <c r="E9" s="27"/>
    </row>
    <row r="10" spans="1:5" s="1" customFormat="1" ht="12.75" customHeight="1">
      <c r="A10" s="30"/>
      <c r="B10" s="31" t="s">
        <v>2799</v>
      </c>
      <c r="C10" s="34">
        <v>25854</v>
      </c>
      <c r="D10" s="35" t="s">
        <v>2800</v>
      </c>
      <c r="E10" s="34">
        <v>23985</v>
      </c>
    </row>
    <row r="11" spans="1:5" s="1" customFormat="1" ht="12.75" customHeight="1">
      <c r="A11" s="30"/>
      <c r="B11" s="31" t="s">
        <v>2801</v>
      </c>
      <c r="C11" s="36">
        <v>9888</v>
      </c>
      <c r="D11" s="37" t="s">
        <v>2802</v>
      </c>
      <c r="E11" s="36">
        <v>7308</v>
      </c>
    </row>
    <row r="12" spans="1:5" s="1" customFormat="1" ht="12.75" customHeight="1">
      <c r="A12" s="30"/>
      <c r="B12" s="31" t="s">
        <v>2781</v>
      </c>
      <c r="C12" s="36">
        <v>2054</v>
      </c>
      <c r="D12" s="38"/>
      <c r="E12" s="36">
        <v>2119</v>
      </c>
    </row>
    <row r="13" spans="1:5" s="1" customFormat="1" ht="12.75" customHeight="1">
      <c r="A13" s="30"/>
      <c r="B13" s="31" t="s">
        <v>2803</v>
      </c>
      <c r="C13" s="36">
        <v>2134</v>
      </c>
      <c r="D13" s="38"/>
      <c r="E13" s="36">
        <v>2055</v>
      </c>
    </row>
    <row r="14" spans="1:5" s="1" customFormat="1" ht="12.75" customHeight="1">
      <c r="A14" s="30"/>
      <c r="B14" s="31" t="s">
        <v>2804</v>
      </c>
      <c r="C14" s="36">
        <v>358</v>
      </c>
      <c r="D14" s="38"/>
      <c r="E14" s="36">
        <v>323</v>
      </c>
    </row>
    <row r="15" spans="1:5" s="1" customFormat="1" ht="12.75" customHeight="1">
      <c r="A15" s="30"/>
      <c r="B15" s="31" t="s">
        <v>2774</v>
      </c>
      <c r="C15" s="36">
        <v>596</v>
      </c>
      <c r="D15" s="38"/>
      <c r="E15" s="36">
        <v>459</v>
      </c>
    </row>
    <row r="16" spans="1:5" s="1" customFormat="1" ht="12.75" customHeight="1">
      <c r="A16" s="30"/>
      <c r="B16" s="31"/>
      <c r="C16" s="36"/>
      <c r="D16" s="38"/>
      <c r="E16" s="36"/>
    </row>
    <row r="17" spans="1:5" s="29" customFormat="1" ht="12.75" customHeight="1">
      <c r="A17" s="23" t="s">
        <v>2805</v>
      </c>
      <c r="B17" s="24"/>
      <c r="C17" s="39">
        <f>SUM(C10:C15)</f>
        <v>40884</v>
      </c>
      <c r="D17" s="40"/>
      <c r="E17" s="39">
        <f>SUM(E10:E15)</f>
        <v>36249</v>
      </c>
    </row>
    <row r="18" spans="1:5" s="1" customFormat="1" ht="12.75" customHeight="1">
      <c r="A18" s="30"/>
      <c r="B18" s="31"/>
      <c r="C18" s="36"/>
      <c r="D18" s="38"/>
      <c r="E18" s="36"/>
    </row>
    <row r="19" spans="1:5" s="29" customFormat="1" ht="12.75" customHeight="1">
      <c r="A19" s="23" t="s">
        <v>2806</v>
      </c>
      <c r="B19" s="24"/>
      <c r="C19" s="39"/>
      <c r="D19" s="40"/>
      <c r="E19" s="39"/>
    </row>
    <row r="20" spans="1:5" s="1" customFormat="1" ht="12.75" customHeight="1">
      <c r="A20" s="30"/>
      <c r="B20" s="31" t="s">
        <v>2782</v>
      </c>
      <c r="C20" s="36">
        <v>4641</v>
      </c>
      <c r="D20" s="38"/>
      <c r="E20" s="36">
        <v>3979</v>
      </c>
    </row>
    <row r="21" spans="1:5" s="1" customFormat="1" ht="12.75" customHeight="1">
      <c r="A21" s="30"/>
      <c r="B21" s="31" t="s">
        <v>2807</v>
      </c>
      <c r="C21" s="36">
        <v>8283</v>
      </c>
      <c r="D21" s="38"/>
      <c r="E21" s="36">
        <v>8940</v>
      </c>
    </row>
    <row r="22" spans="1:5" s="1" customFormat="1" ht="12.75" customHeight="1">
      <c r="A22" s="30"/>
      <c r="B22" s="31" t="s">
        <v>2903</v>
      </c>
      <c r="C22" s="36">
        <v>156</v>
      </c>
      <c r="D22" s="38"/>
      <c r="E22" s="36">
        <v>162</v>
      </c>
    </row>
    <row r="23" spans="1:5" s="1" customFormat="1" ht="12.75" customHeight="1">
      <c r="A23" s="30"/>
      <c r="B23" s="31" t="s">
        <v>2808</v>
      </c>
      <c r="C23" s="36">
        <v>109451</v>
      </c>
      <c r="D23" s="38"/>
      <c r="E23" s="36">
        <v>99475</v>
      </c>
    </row>
    <row r="24" spans="1:5" s="1" customFormat="1" ht="12.75" customHeight="1">
      <c r="A24" s="30"/>
      <c r="B24" s="31" t="s">
        <v>2783</v>
      </c>
      <c r="C24" s="36">
        <v>163904</v>
      </c>
      <c r="D24" s="38"/>
      <c r="E24" s="36">
        <v>156022</v>
      </c>
    </row>
    <row r="25" spans="1:5" s="1" customFormat="1" ht="12.75" customHeight="1">
      <c r="A25" s="30"/>
      <c r="B25" s="31"/>
      <c r="C25" s="36"/>
      <c r="D25" s="38"/>
      <c r="E25" s="36"/>
    </row>
    <row r="26" spans="1:5" s="29" customFormat="1" ht="12.75" customHeight="1">
      <c r="A26" s="23" t="s">
        <v>2809</v>
      </c>
      <c r="B26" s="24"/>
      <c r="C26" s="39">
        <f>SUM(C20:C24)</f>
        <v>286435</v>
      </c>
      <c r="D26" s="40"/>
      <c r="E26" s="39">
        <f>SUM(E20:E24)</f>
        <v>268578</v>
      </c>
    </row>
    <row r="27" spans="1:5" s="1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2905</v>
      </c>
      <c r="B28" s="24"/>
      <c r="C28" s="41">
        <f>C17+C26</f>
        <v>327319</v>
      </c>
      <c r="D28" s="28"/>
      <c r="E28" s="41">
        <f>E17+E26</f>
        <v>304827</v>
      </c>
    </row>
    <row r="29" spans="1:5" s="1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2810</v>
      </c>
      <c r="B30" s="24"/>
      <c r="C30" s="27"/>
      <c r="D30" s="28"/>
      <c r="E30" s="27"/>
    </row>
    <row r="31" spans="1:5" s="1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2811</v>
      </c>
      <c r="B32" s="24"/>
      <c r="C32" s="27"/>
      <c r="D32" s="28"/>
      <c r="E32" s="27"/>
    </row>
    <row r="33" spans="1:5" s="1" customFormat="1" ht="12.75" customHeight="1">
      <c r="A33" s="30"/>
      <c r="B33" s="31" t="s">
        <v>2812</v>
      </c>
      <c r="C33" s="34">
        <v>2596</v>
      </c>
      <c r="D33" s="33"/>
      <c r="E33" s="34">
        <v>2456</v>
      </c>
    </row>
    <row r="34" spans="1:5" s="1" customFormat="1" ht="12.75" customHeight="1">
      <c r="A34" s="30"/>
      <c r="B34" s="31" t="s">
        <v>2813</v>
      </c>
      <c r="C34" s="36">
        <v>5369</v>
      </c>
      <c r="D34" s="37" t="s">
        <v>2814</v>
      </c>
      <c r="E34" s="36">
        <v>5074</v>
      </c>
    </row>
    <row r="35" spans="1:5" s="1" customFormat="1" ht="12.75" customHeight="1">
      <c r="A35" s="30"/>
      <c r="B35" s="31" t="s">
        <v>2784</v>
      </c>
      <c r="C35" s="36">
        <v>4393</v>
      </c>
      <c r="D35" s="38"/>
      <c r="E35" s="36">
        <v>1805</v>
      </c>
    </row>
    <row r="36" spans="1:5" s="1" customFormat="1" ht="12.75" customHeight="1">
      <c r="A36" s="30"/>
      <c r="B36" s="31" t="s">
        <v>2815</v>
      </c>
      <c r="C36" s="36">
        <v>260</v>
      </c>
      <c r="D36" s="37" t="s">
        <v>2816</v>
      </c>
      <c r="E36" s="36">
        <v>392</v>
      </c>
    </row>
    <row r="37" spans="1:5" s="1" customFormat="1" ht="12.75" customHeight="1">
      <c r="A37" s="30"/>
      <c r="B37" s="31" t="s">
        <v>2817</v>
      </c>
      <c r="C37" s="36">
        <v>10200</v>
      </c>
      <c r="D37" s="38"/>
      <c r="E37" s="36">
        <v>8285</v>
      </c>
    </row>
    <row r="38" spans="1:5" s="1" customFormat="1" ht="12.75" customHeight="1">
      <c r="A38" s="30"/>
      <c r="B38" s="31" t="s">
        <v>2818</v>
      </c>
      <c r="C38" s="36">
        <v>658</v>
      </c>
      <c r="D38" s="38"/>
      <c r="E38" s="36">
        <v>638</v>
      </c>
    </row>
    <row r="39" spans="1:5" s="1" customFormat="1" ht="12.75" customHeight="1">
      <c r="A39" s="30"/>
      <c r="B39" s="31"/>
      <c r="C39" s="36"/>
      <c r="D39" s="38"/>
      <c r="E39" s="36"/>
    </row>
    <row r="40" spans="1:5" s="29" customFormat="1" ht="12.75" customHeight="1">
      <c r="A40" s="23" t="s">
        <v>2819</v>
      </c>
      <c r="B40" s="24"/>
      <c r="C40" s="39">
        <f>SUM(C33:C38)</f>
        <v>23476</v>
      </c>
      <c r="D40" s="40"/>
      <c r="E40" s="39">
        <f>SUM(E33:E38)</f>
        <v>18650</v>
      </c>
    </row>
    <row r="41" spans="1:5" s="1" customFormat="1" ht="12.75" customHeight="1">
      <c r="A41" s="30"/>
      <c r="B41" s="31"/>
      <c r="C41" s="36"/>
      <c r="D41" s="38"/>
      <c r="E41" s="36"/>
    </row>
    <row r="42" spans="1:5" s="29" customFormat="1" ht="12.75" customHeight="1">
      <c r="A42" s="23" t="s">
        <v>2820</v>
      </c>
      <c r="B42" s="24"/>
      <c r="C42" s="39"/>
      <c r="D42" s="40"/>
      <c r="E42" s="39"/>
    </row>
    <row r="43" spans="1:5" s="1" customFormat="1" ht="12.75" customHeight="1">
      <c r="A43" s="30"/>
      <c r="B43" s="31" t="s">
        <v>2904</v>
      </c>
      <c r="C43" s="36">
        <v>32018</v>
      </c>
      <c r="D43" s="38"/>
      <c r="E43" s="36">
        <v>32696</v>
      </c>
    </row>
    <row r="44" spans="1:5" s="1" customFormat="1" ht="12.75" customHeight="1">
      <c r="A44" s="30"/>
      <c r="B44" s="31"/>
      <c r="C44" s="36"/>
      <c r="D44" s="38"/>
      <c r="E44" s="36"/>
    </row>
    <row r="45" spans="1:5" s="29" customFormat="1" ht="12.75" customHeight="1">
      <c r="A45" s="23" t="s">
        <v>2821</v>
      </c>
      <c r="B45" s="24"/>
      <c r="C45" s="39">
        <f>SUM(C43:C43)</f>
        <v>32018</v>
      </c>
      <c r="D45" s="40"/>
      <c r="E45" s="39">
        <f>SUM(E43:E43)</f>
        <v>32696</v>
      </c>
    </row>
    <row r="46" spans="1:5" s="1" customFormat="1" ht="12.75" customHeight="1">
      <c r="A46" s="30"/>
      <c r="B46" s="31"/>
      <c r="C46" s="36"/>
      <c r="D46" s="38"/>
      <c r="E46" s="36"/>
    </row>
    <row r="47" spans="1:5" s="29" customFormat="1" ht="12.75" customHeight="1">
      <c r="A47" s="23" t="s">
        <v>2906</v>
      </c>
      <c r="B47" s="24"/>
      <c r="C47" s="39">
        <f>C45+C40</f>
        <v>55494</v>
      </c>
      <c r="D47" s="40"/>
      <c r="E47" s="39">
        <f>E45+E40</f>
        <v>51346</v>
      </c>
    </row>
    <row r="48" spans="1:5" s="1" customFormat="1" ht="12.75" customHeight="1">
      <c r="A48" s="30"/>
      <c r="B48" s="31"/>
      <c r="C48" s="36"/>
      <c r="D48" s="38"/>
      <c r="E48" s="36"/>
    </row>
    <row r="49" spans="1:5" s="1" customFormat="1" ht="12.75" customHeight="1">
      <c r="A49" s="23" t="s">
        <v>2822</v>
      </c>
      <c r="B49" s="24"/>
      <c r="C49" s="36"/>
      <c r="D49" s="38"/>
      <c r="E49" s="36"/>
    </row>
    <row r="50" spans="1:5" s="1" customFormat="1" ht="12.75" customHeight="1">
      <c r="A50" s="30"/>
      <c r="B50" s="31"/>
      <c r="C50" s="36"/>
      <c r="D50" s="38"/>
      <c r="E50" s="36"/>
    </row>
    <row r="51" spans="1:5" s="1" customFormat="1" ht="12.75" customHeight="1">
      <c r="A51" s="30" t="s">
        <v>2776</v>
      </c>
      <c r="B51" s="31"/>
      <c r="C51" s="36">
        <v>131691</v>
      </c>
      <c r="D51" s="38"/>
      <c r="E51" s="36">
        <v>123439</v>
      </c>
    </row>
    <row r="52" spans="1:5" s="1" customFormat="1" ht="12.75" customHeight="1">
      <c r="A52" s="30" t="s">
        <v>2823</v>
      </c>
      <c r="B52" s="31"/>
      <c r="C52" s="36"/>
      <c r="D52" s="38"/>
      <c r="E52" s="36"/>
    </row>
    <row r="53" spans="1:5" s="1" customFormat="1" ht="12.75" customHeight="1">
      <c r="A53" s="30"/>
      <c r="B53" s="31" t="s">
        <v>2787</v>
      </c>
      <c r="C53" s="36">
        <v>73625</v>
      </c>
      <c r="D53" s="38"/>
      <c r="E53" s="36">
        <v>63563</v>
      </c>
    </row>
    <row r="54" spans="1:5" s="1" customFormat="1" ht="12.75" customHeight="1">
      <c r="A54" s="30"/>
      <c r="B54" s="31" t="s">
        <v>2775</v>
      </c>
      <c r="C54" s="36">
        <v>42504</v>
      </c>
      <c r="D54" s="38"/>
      <c r="E54" s="36">
        <v>45163</v>
      </c>
    </row>
    <row r="55" spans="1:5" s="1" customFormat="1" ht="12.75" customHeight="1">
      <c r="A55" s="30" t="s">
        <v>2915</v>
      </c>
      <c r="B55" s="31"/>
      <c r="C55" s="36">
        <v>24005</v>
      </c>
      <c r="D55" s="38"/>
      <c r="E55" s="36">
        <v>21316</v>
      </c>
    </row>
    <row r="56" spans="1:5" s="29" customFormat="1" ht="12.75" customHeight="1">
      <c r="A56" s="23"/>
      <c r="B56" s="24"/>
      <c r="C56" s="39"/>
      <c r="D56" s="40"/>
      <c r="E56" s="39"/>
    </row>
    <row r="57" spans="1:5" s="29" customFormat="1" ht="12.75" customHeight="1">
      <c r="A57" s="23" t="s">
        <v>2907</v>
      </c>
      <c r="B57" s="24"/>
      <c r="C57" s="39">
        <f>SUM(C51:C55)</f>
        <v>271825</v>
      </c>
      <c r="D57" s="40"/>
      <c r="E57" s="39">
        <f>SUM(E51:E55)</f>
        <v>253481</v>
      </c>
    </row>
    <row r="58" spans="1:5" s="1" customFormat="1" ht="12.75" customHeight="1">
      <c r="A58" s="30"/>
      <c r="B58" s="31"/>
      <c r="C58" s="32"/>
      <c r="D58" s="33"/>
      <c r="E58" s="32"/>
    </row>
    <row r="59" spans="1:5" s="29" customFormat="1" ht="12.75" customHeight="1">
      <c r="A59" s="23" t="s">
        <v>2908</v>
      </c>
      <c r="B59" s="24"/>
      <c r="C59" s="41">
        <f>C57+C47</f>
        <v>327319</v>
      </c>
      <c r="D59" s="28"/>
      <c r="E59" s="41">
        <f>E57+E47</f>
        <v>304827</v>
      </c>
    </row>
    <row r="60" spans="1:5" s="1" customFormat="1" ht="12.75" customHeight="1" hidden="1">
      <c r="A60" s="30"/>
      <c r="B60" s="31"/>
      <c r="C60" s="32"/>
      <c r="D60" s="33"/>
      <c r="E60" s="42"/>
    </row>
    <row r="61" spans="1:4" s="45" customFormat="1" ht="11.25" hidden="1">
      <c r="A61" s="43" t="s">
        <v>2824</v>
      </c>
      <c r="B61" s="33"/>
      <c r="C61" s="44"/>
      <c r="D61" s="33"/>
    </row>
    <row r="62" spans="1:4" s="45" customFormat="1" ht="11.25" hidden="1">
      <c r="A62" s="46" t="s">
        <v>2825</v>
      </c>
      <c r="B62" s="33"/>
      <c r="C62" s="44"/>
      <c r="D62" s="33"/>
    </row>
    <row r="63" spans="1:4" s="45" customFormat="1" ht="11.25" hidden="1">
      <c r="A63" s="46" t="s">
        <v>2826</v>
      </c>
      <c r="B63" s="33"/>
      <c r="C63" s="44"/>
      <c r="D63" s="33"/>
    </row>
    <row r="64" spans="1:4" s="45" customFormat="1" ht="11.25" hidden="1">
      <c r="A64" s="46" t="s">
        <v>2827</v>
      </c>
      <c r="B64" s="33"/>
      <c r="C64" s="44"/>
      <c r="D64" s="33"/>
    </row>
    <row r="65" ht="12.75">
      <c r="C65" s="47"/>
    </row>
    <row r="66" spans="1:3" ht="12.75">
      <c r="A66" s="48"/>
      <c r="C66" s="1"/>
    </row>
    <row r="67" ht="12.75">
      <c r="C67" s="1"/>
    </row>
    <row r="68" ht="12.75">
      <c r="C68" s="1"/>
    </row>
    <row r="69" spans="3:5" ht="12.75">
      <c r="C69" s="1"/>
      <c r="E69" s="1"/>
    </row>
    <row r="70" spans="3:5" ht="12.75">
      <c r="C70" s="1"/>
      <c r="E70" s="1"/>
    </row>
    <row r="71" spans="3:5" ht="12.75">
      <c r="C71" s="1"/>
      <c r="E71" s="1"/>
    </row>
    <row r="72" spans="3:5" ht="12.75">
      <c r="C72" s="1"/>
      <c r="E72" s="1"/>
    </row>
    <row r="73" spans="3:5" ht="12.75">
      <c r="C73" s="1"/>
      <c r="E73" s="1"/>
    </row>
    <row r="74" spans="3:5" ht="12.75">
      <c r="C74" s="1"/>
      <c r="E74" s="1"/>
    </row>
    <row r="75" spans="3:5" ht="12.75">
      <c r="C75" s="1"/>
      <c r="E75" s="1"/>
    </row>
    <row r="76" spans="3:5" ht="12.75">
      <c r="C76" s="1"/>
      <c r="E76" s="1"/>
    </row>
    <row r="77" spans="3:5" ht="12.75">
      <c r="C77" s="1"/>
      <c r="E77" s="1"/>
    </row>
    <row r="78" spans="3:5" ht="12.75">
      <c r="C78" s="1"/>
      <c r="E78" s="1"/>
    </row>
    <row r="79" spans="3:5" ht="12.75">
      <c r="C79" s="1"/>
      <c r="E79" s="1"/>
    </row>
    <row r="80" spans="3:5" ht="12.75">
      <c r="C80" s="1"/>
      <c r="E80" s="1"/>
    </row>
    <row r="81" spans="3:5" ht="12.75">
      <c r="C81" s="1"/>
      <c r="E81" s="1"/>
    </row>
    <row r="82" spans="3:5" ht="12.75">
      <c r="C82" s="1"/>
      <c r="E82" s="1"/>
    </row>
    <row r="83" spans="3:5" ht="12.75">
      <c r="C83" s="1"/>
      <c r="E83" s="1"/>
    </row>
    <row r="84" spans="3:5" ht="12.75">
      <c r="C84" s="1"/>
      <c r="E84" s="1"/>
    </row>
    <row r="85" spans="3:5" ht="12.75">
      <c r="C85" s="1"/>
      <c r="E85" s="1"/>
    </row>
    <row r="86" spans="3:5" ht="12.75">
      <c r="C86" s="1"/>
      <c r="E86" s="1"/>
    </row>
    <row r="87" spans="3:5" ht="12.75">
      <c r="C87" s="1"/>
      <c r="E87" s="1"/>
    </row>
    <row r="88" spans="3:5" ht="12.75">
      <c r="C88" s="1"/>
      <c r="E88" s="1"/>
    </row>
    <row r="89" spans="3:5" ht="12.75">
      <c r="C89" s="1"/>
      <c r="E89" s="1"/>
    </row>
    <row r="90" spans="3:5" ht="12.75">
      <c r="C90" s="1"/>
      <c r="E90" s="1"/>
    </row>
    <row r="91" spans="3:5" ht="12.75">
      <c r="C91" s="1"/>
      <c r="E91" s="1"/>
    </row>
    <row r="92" spans="3:5" ht="12.75">
      <c r="C92" s="1"/>
      <c r="E92" s="1"/>
    </row>
    <row r="93" spans="3:5" ht="12.75">
      <c r="C93" s="1"/>
      <c r="E93" s="1"/>
    </row>
    <row r="94" spans="3:5" ht="12.75">
      <c r="C94" s="1"/>
      <c r="E94" s="1"/>
    </row>
    <row r="95" spans="3:5" ht="12.75">
      <c r="C95" s="1"/>
      <c r="E95" s="1"/>
    </row>
    <row r="96" spans="3:5" ht="12.75">
      <c r="C96" s="1"/>
      <c r="E96" s="1"/>
    </row>
    <row r="97" spans="3:5" ht="12.75">
      <c r="C97" s="1"/>
      <c r="E97" s="1"/>
    </row>
    <row r="98" spans="3:5" ht="12.75">
      <c r="C98" s="1"/>
      <c r="E98" s="1"/>
    </row>
    <row r="99" spans="3:5" ht="12.75">
      <c r="C99" s="1"/>
      <c r="E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92"/>
  <sheetViews>
    <sheetView zoomScale="75" zoomScaleNormal="75" workbookViewId="0" topLeftCell="A2">
      <pane xSplit="3" ySplit="5" topLeftCell="D7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154" sqref="B154"/>
    </sheetView>
  </sheetViews>
  <sheetFormatPr defaultColWidth="9.140625" defaultRowHeight="12.75" outlineLevelRow="1"/>
  <cols>
    <col min="1" max="1" width="4.7109375" style="393" hidden="1" customWidth="1"/>
    <col min="2" max="2" width="116.00390625" style="393" customWidth="1"/>
    <col min="3" max="3" width="7.00390625" style="381" customWidth="1"/>
    <col min="4" max="4" width="16.140625" style="422" customWidth="1"/>
    <col min="5" max="6" width="16.140625" style="393" customWidth="1"/>
    <col min="7" max="7" width="8.00390625" style="383" hidden="1" customWidth="1"/>
    <col min="8" max="50" width="8.00390625" style="383" customWidth="1"/>
    <col min="51" max="16384" width="8.00390625" style="393" customWidth="1"/>
  </cols>
  <sheetData>
    <row r="1" spans="1:50" s="380" customFormat="1" ht="110.25" customHeight="1" hidden="1">
      <c r="A1" s="380" t="s">
        <v>2593</v>
      </c>
      <c r="B1" s="380" t="s">
        <v>2793</v>
      </c>
      <c r="C1" s="381" t="s">
        <v>2206</v>
      </c>
      <c r="D1" s="382" t="s">
        <v>2667</v>
      </c>
      <c r="E1" s="380" t="s">
        <v>2668</v>
      </c>
      <c r="F1" s="380" t="s">
        <v>2669</v>
      </c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</row>
    <row r="2" spans="2:50" s="384" customFormat="1" ht="15.75" customHeight="1">
      <c r="B2" s="385" t="str">
        <f>"University of Missouri - "&amp;G2</f>
        <v>University of Missouri - Rolla</v>
      </c>
      <c r="C2" s="386"/>
      <c r="D2" s="386"/>
      <c r="E2" s="386"/>
      <c r="F2" s="387"/>
      <c r="G2" s="388" t="s">
        <v>118</v>
      </c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</row>
    <row r="3" spans="2:50" s="384" customFormat="1" ht="15.75" customHeight="1">
      <c r="B3" s="390" t="s">
        <v>2670</v>
      </c>
      <c r="C3" s="391"/>
      <c r="D3" s="391"/>
      <c r="E3" s="391"/>
      <c r="F3" s="392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</row>
    <row r="4" spans="2:7" ht="15.75" customHeight="1">
      <c r="B4" s="394" t="str">
        <f>"For the Year Ending "&amp;TEXT(G4,"MMMM DD, YYY")</f>
        <v>For the Year Ending June 30, 2006</v>
      </c>
      <c r="C4" s="395"/>
      <c r="D4" s="395"/>
      <c r="E4" s="395"/>
      <c r="F4" s="396"/>
      <c r="G4" s="397" t="s">
        <v>117</v>
      </c>
    </row>
    <row r="5" spans="2:6" ht="12.75" customHeight="1">
      <c r="B5" s="398"/>
      <c r="C5" s="399"/>
      <c r="D5" s="400"/>
      <c r="E5" s="400"/>
      <c r="F5" s="401"/>
    </row>
    <row r="6" spans="2:6" ht="30" customHeight="1">
      <c r="B6" s="402"/>
      <c r="C6" s="403"/>
      <c r="D6" s="404" t="s">
        <v>2671</v>
      </c>
      <c r="E6" s="404" t="s">
        <v>2672</v>
      </c>
      <c r="F6" s="404" t="s">
        <v>2648</v>
      </c>
    </row>
    <row r="7" spans="2:6" ht="12.75" customHeight="1">
      <c r="B7" s="402"/>
      <c r="C7" s="403"/>
      <c r="D7" s="405"/>
      <c r="E7" s="405"/>
      <c r="F7" s="405"/>
    </row>
    <row r="8" spans="2:6" ht="12.75" customHeight="1">
      <c r="B8" s="406" t="s">
        <v>2828</v>
      </c>
      <c r="C8" s="407"/>
      <c r="D8" s="408"/>
      <c r="E8" s="408"/>
      <c r="F8" s="408"/>
    </row>
    <row r="9" spans="1:50" s="380" customFormat="1" ht="38.25" hidden="1" outlineLevel="1">
      <c r="A9" s="380" t="s">
        <v>1466</v>
      </c>
      <c r="B9" s="380" t="s">
        <v>1467</v>
      </c>
      <c r="C9" s="381" t="s">
        <v>1468</v>
      </c>
      <c r="D9" s="382">
        <v>0</v>
      </c>
      <c r="E9" s="380">
        <v>12682.19</v>
      </c>
      <c r="F9" s="380">
        <v>0</v>
      </c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</row>
    <row r="10" spans="1:50" s="380" customFormat="1" ht="38.25" hidden="1" outlineLevel="1">
      <c r="A10" s="380" t="s">
        <v>1469</v>
      </c>
      <c r="B10" s="380" t="s">
        <v>1470</v>
      </c>
      <c r="C10" s="381" t="s">
        <v>1471</v>
      </c>
      <c r="D10" s="382">
        <v>0</v>
      </c>
      <c r="E10" s="380">
        <v>-46837</v>
      </c>
      <c r="F10" s="380">
        <v>0</v>
      </c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</row>
    <row r="11" spans="1:50" s="380" customFormat="1" ht="38.25" hidden="1" outlineLevel="1">
      <c r="A11" s="380" t="s">
        <v>1472</v>
      </c>
      <c r="B11" s="380" t="s">
        <v>1473</v>
      </c>
      <c r="C11" s="381" t="s">
        <v>1474</v>
      </c>
      <c r="D11" s="382">
        <v>0</v>
      </c>
      <c r="E11" s="380">
        <v>326743.55</v>
      </c>
      <c r="F11" s="380">
        <v>0</v>
      </c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</row>
    <row r="12" spans="1:50" s="380" customFormat="1" ht="38.25" hidden="1" outlineLevel="1">
      <c r="A12" s="380" t="s">
        <v>1478</v>
      </c>
      <c r="B12" s="380" t="s">
        <v>1479</v>
      </c>
      <c r="C12" s="381" t="s">
        <v>1480</v>
      </c>
      <c r="D12" s="382">
        <v>0</v>
      </c>
      <c r="E12" s="380">
        <v>304196.86</v>
      </c>
      <c r="F12" s="380">
        <v>0</v>
      </c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</row>
    <row r="13" spans="1:50" s="380" customFormat="1" ht="38.25" hidden="1" outlineLevel="1">
      <c r="A13" s="380" t="s">
        <v>3250</v>
      </c>
      <c r="B13" s="380" t="s">
        <v>3251</v>
      </c>
      <c r="C13" s="381" t="s">
        <v>3252</v>
      </c>
      <c r="D13" s="382">
        <v>-46350</v>
      </c>
      <c r="E13" s="380">
        <v>-159867.86</v>
      </c>
      <c r="F13" s="380">
        <v>0</v>
      </c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</row>
    <row r="14" spans="1:50" s="380" customFormat="1" ht="38.25" hidden="1" outlineLevel="1">
      <c r="A14" s="380" t="s">
        <v>3253</v>
      </c>
      <c r="B14" s="380" t="s">
        <v>3254</v>
      </c>
      <c r="C14" s="381" t="s">
        <v>3255</v>
      </c>
      <c r="D14" s="382">
        <v>-8595</v>
      </c>
      <c r="E14" s="380">
        <v>-171759.3</v>
      </c>
      <c r="F14" s="380">
        <v>0</v>
      </c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</row>
    <row r="15" spans="1:50" s="380" customFormat="1" ht="38.25" hidden="1" outlineLevel="1">
      <c r="A15" s="380" t="s">
        <v>3256</v>
      </c>
      <c r="B15" s="380" t="s">
        <v>3257</v>
      </c>
      <c r="C15" s="381" t="s">
        <v>3258</v>
      </c>
      <c r="D15" s="382">
        <v>-675</v>
      </c>
      <c r="E15" s="380">
        <v>-5625</v>
      </c>
      <c r="F15" s="380">
        <v>0</v>
      </c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</row>
    <row r="16" spans="1:50" s="380" customFormat="1" ht="38.25" hidden="1" outlineLevel="1">
      <c r="A16" s="380" t="s">
        <v>3259</v>
      </c>
      <c r="B16" s="380" t="s">
        <v>3260</v>
      </c>
      <c r="C16" s="381" t="s">
        <v>3261</v>
      </c>
      <c r="D16" s="382">
        <v>-675</v>
      </c>
      <c r="E16" s="380">
        <v>0</v>
      </c>
      <c r="F16" s="380">
        <v>0</v>
      </c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</row>
    <row r="17" spans="1:50" s="380" customFormat="1" ht="38.25" hidden="1" outlineLevel="1">
      <c r="A17" s="380" t="s">
        <v>3265</v>
      </c>
      <c r="B17" s="380" t="s">
        <v>3266</v>
      </c>
      <c r="C17" s="381" t="s">
        <v>3267</v>
      </c>
      <c r="D17" s="382">
        <v>-337989.12</v>
      </c>
      <c r="E17" s="380">
        <v>0</v>
      </c>
      <c r="F17" s="380">
        <v>0</v>
      </c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</row>
    <row r="18" spans="1:50" ht="12.75" customHeight="1" collapsed="1">
      <c r="A18" s="393" t="s">
        <v>2673</v>
      </c>
      <c r="B18" s="409" t="s">
        <v>2674</v>
      </c>
      <c r="C18" s="410"/>
      <c r="D18" s="411">
        <v>-394284.12</v>
      </c>
      <c r="E18" s="411">
        <v>259533.44</v>
      </c>
      <c r="F18" s="411">
        <v>0</v>
      </c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</row>
    <row r="19" spans="1:50" s="380" customFormat="1" ht="38.25" hidden="1" outlineLevel="1">
      <c r="A19" s="380" t="s">
        <v>3273</v>
      </c>
      <c r="B19" s="380" t="s">
        <v>3274</v>
      </c>
      <c r="C19" s="381" t="s">
        <v>3275</v>
      </c>
      <c r="D19" s="382">
        <v>6981.36</v>
      </c>
      <c r="E19" s="380">
        <v>130.11</v>
      </c>
      <c r="F19" s="380">
        <v>0</v>
      </c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</row>
    <row r="20" spans="1:50" s="380" customFormat="1" ht="38.25" hidden="1" outlineLevel="1">
      <c r="A20" s="380" t="s">
        <v>1499</v>
      </c>
      <c r="B20" s="380" t="s">
        <v>1500</v>
      </c>
      <c r="C20" s="381" t="s">
        <v>1501</v>
      </c>
      <c r="D20" s="382">
        <v>0</v>
      </c>
      <c r="E20" s="380">
        <v>45816.04</v>
      </c>
      <c r="F20" s="380">
        <v>0</v>
      </c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</row>
    <row r="21" spans="1:50" s="380" customFormat="1" ht="38.25" hidden="1" outlineLevel="1">
      <c r="A21" s="380" t="s">
        <v>1502</v>
      </c>
      <c r="B21" s="380" t="s">
        <v>1503</v>
      </c>
      <c r="C21" s="381" t="s">
        <v>1504</v>
      </c>
      <c r="D21" s="382">
        <v>0</v>
      </c>
      <c r="E21" s="380">
        <v>23684</v>
      </c>
      <c r="F21" s="380">
        <v>0</v>
      </c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</row>
    <row r="22" spans="1:50" s="380" customFormat="1" ht="38.25" hidden="1" outlineLevel="1">
      <c r="A22" s="380" t="s">
        <v>3276</v>
      </c>
      <c r="B22" s="380" t="s">
        <v>3277</v>
      </c>
      <c r="C22" s="381" t="s">
        <v>3278</v>
      </c>
      <c r="D22" s="382">
        <v>262917.05</v>
      </c>
      <c r="E22" s="380">
        <v>0</v>
      </c>
      <c r="F22" s="380">
        <v>0</v>
      </c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</row>
    <row r="23" spans="1:50" s="380" customFormat="1" ht="38.25" hidden="1" outlineLevel="1">
      <c r="A23" s="380" t="s">
        <v>1508</v>
      </c>
      <c r="B23" s="380" t="s">
        <v>1509</v>
      </c>
      <c r="C23" s="381" t="s">
        <v>1510</v>
      </c>
      <c r="D23" s="382">
        <v>0</v>
      </c>
      <c r="E23" s="380">
        <v>13705.35</v>
      </c>
      <c r="F23" s="380">
        <v>0</v>
      </c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</row>
    <row r="24" spans="1:50" s="380" customFormat="1" ht="38.25" hidden="1" outlineLevel="1">
      <c r="A24" s="380" t="s">
        <v>1511</v>
      </c>
      <c r="B24" s="380" t="s">
        <v>1512</v>
      </c>
      <c r="C24" s="381" t="s">
        <v>1513</v>
      </c>
      <c r="D24" s="382">
        <v>0</v>
      </c>
      <c r="E24" s="380">
        <v>19450</v>
      </c>
      <c r="F24" s="380">
        <v>0</v>
      </c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</row>
    <row r="25" spans="1:50" s="380" customFormat="1" ht="38.25" hidden="1" outlineLevel="1">
      <c r="A25" s="380" t="s">
        <v>3279</v>
      </c>
      <c r="B25" s="380" t="s">
        <v>3280</v>
      </c>
      <c r="C25" s="381" t="s">
        <v>3281</v>
      </c>
      <c r="D25" s="382">
        <v>101381.11</v>
      </c>
      <c r="E25" s="380">
        <v>82459.13</v>
      </c>
      <c r="F25" s="380">
        <v>0</v>
      </c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</row>
    <row r="26" spans="1:50" s="380" customFormat="1" ht="38.25" hidden="1" outlineLevel="1">
      <c r="A26" s="380" t="s">
        <v>3282</v>
      </c>
      <c r="B26" s="380" t="s">
        <v>3283</v>
      </c>
      <c r="C26" s="381" t="s">
        <v>3284</v>
      </c>
      <c r="D26" s="382">
        <v>55401</v>
      </c>
      <c r="E26" s="380">
        <v>0</v>
      </c>
      <c r="F26" s="380">
        <v>0</v>
      </c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</row>
    <row r="27" spans="1:50" s="380" customFormat="1" ht="38.25" hidden="1" outlineLevel="1">
      <c r="A27" s="380" t="s">
        <v>2675</v>
      </c>
      <c r="B27" s="380" t="s">
        <v>2676</v>
      </c>
      <c r="C27" s="381" t="s">
        <v>2677</v>
      </c>
      <c r="D27" s="382">
        <v>7653514.73</v>
      </c>
      <c r="E27" s="380">
        <v>0</v>
      </c>
      <c r="F27" s="380">
        <v>0</v>
      </c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</row>
    <row r="28" spans="1:50" s="380" customFormat="1" ht="38.25" hidden="1" outlineLevel="1">
      <c r="A28" s="380" t="s">
        <v>3285</v>
      </c>
      <c r="B28" s="380" t="s">
        <v>3286</v>
      </c>
      <c r="C28" s="381" t="s">
        <v>3287</v>
      </c>
      <c r="D28" s="382">
        <v>-150</v>
      </c>
      <c r="E28" s="380">
        <v>0</v>
      </c>
      <c r="F28" s="380">
        <v>0</v>
      </c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</row>
    <row r="29" spans="1:50" s="380" customFormat="1" ht="38.25" hidden="1" outlineLevel="1">
      <c r="A29" s="380" t="s">
        <v>1517</v>
      </c>
      <c r="B29" s="380" t="s">
        <v>1518</v>
      </c>
      <c r="C29" s="381" t="s">
        <v>1519</v>
      </c>
      <c r="D29" s="382">
        <v>0</v>
      </c>
      <c r="E29" s="380">
        <v>-138.54</v>
      </c>
      <c r="F29" s="380">
        <v>0</v>
      </c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</row>
    <row r="30" spans="1:50" ht="12.75" customHeight="1" collapsed="1">
      <c r="A30" s="393" t="s">
        <v>3288</v>
      </c>
      <c r="B30" s="409" t="s">
        <v>2678</v>
      </c>
      <c r="C30" s="410"/>
      <c r="D30" s="412">
        <v>8080045.25</v>
      </c>
      <c r="E30" s="412">
        <v>185106.09</v>
      </c>
      <c r="F30" s="412">
        <v>0</v>
      </c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</row>
    <row r="31" spans="1:50" s="380" customFormat="1" ht="38.25" hidden="1" outlineLevel="1">
      <c r="A31" s="380" t="s">
        <v>3343</v>
      </c>
      <c r="B31" s="380" t="s">
        <v>3344</v>
      </c>
      <c r="C31" s="381" t="s">
        <v>3345</v>
      </c>
      <c r="D31" s="382">
        <v>6184.75</v>
      </c>
      <c r="E31" s="380">
        <v>675.91</v>
      </c>
      <c r="F31" s="380">
        <v>329165.82</v>
      </c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</row>
    <row r="32" spans="1:50" s="380" customFormat="1" ht="38.25" hidden="1" outlineLevel="1">
      <c r="A32" s="380" t="s">
        <v>1525</v>
      </c>
      <c r="B32" s="380" t="s">
        <v>1526</v>
      </c>
      <c r="C32" s="381" t="s">
        <v>1527</v>
      </c>
      <c r="D32" s="382">
        <v>0</v>
      </c>
      <c r="E32" s="380">
        <v>5000</v>
      </c>
      <c r="F32" s="380">
        <v>0</v>
      </c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</row>
    <row r="33" spans="1:50" s="380" customFormat="1" ht="38.25" hidden="1" outlineLevel="1">
      <c r="A33" s="380" t="s">
        <v>3349</v>
      </c>
      <c r="B33" s="380" t="s">
        <v>3350</v>
      </c>
      <c r="C33" s="381" t="s">
        <v>3351</v>
      </c>
      <c r="D33" s="382">
        <v>0</v>
      </c>
      <c r="E33" s="380">
        <v>22036.86</v>
      </c>
      <c r="F33" s="380">
        <v>0</v>
      </c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</row>
    <row r="34" spans="1:50" ht="12.75" customHeight="1" collapsed="1">
      <c r="A34" s="393" t="s">
        <v>2679</v>
      </c>
      <c r="B34" s="409" t="s">
        <v>1919</v>
      </c>
      <c r="C34" s="410"/>
      <c r="D34" s="412">
        <v>6184.75</v>
      </c>
      <c r="E34" s="412">
        <v>27712.77</v>
      </c>
      <c r="F34" s="412">
        <v>329165.82</v>
      </c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</row>
    <row r="35" spans="2:50" s="413" customFormat="1" ht="12.75" customHeight="1">
      <c r="B35" s="406" t="s">
        <v>2909</v>
      </c>
      <c r="C35" s="407"/>
      <c r="D35" s="414">
        <f>D18+D30+D34</f>
        <v>7691945.88</v>
      </c>
      <c r="E35" s="414">
        <f>E18+E30+E34</f>
        <v>472352.30000000005</v>
      </c>
      <c r="F35" s="414">
        <f>F18+F30+F34</f>
        <v>329165.82</v>
      </c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</row>
    <row r="36" spans="2:50" ht="12.75" customHeight="1">
      <c r="B36" s="409"/>
      <c r="C36" s="410"/>
      <c r="D36" s="412"/>
      <c r="E36" s="412"/>
      <c r="F36" s="412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</row>
    <row r="37" spans="2:50" ht="12.75" customHeight="1">
      <c r="B37" s="415" t="s">
        <v>2837</v>
      </c>
      <c r="C37" s="416"/>
      <c r="D37" s="412"/>
      <c r="E37" s="412"/>
      <c r="F37" s="412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</row>
    <row r="38" spans="1:50" s="380" customFormat="1" ht="38.25" hidden="1" outlineLevel="1">
      <c r="A38" s="380" t="s">
        <v>3374</v>
      </c>
      <c r="B38" s="380" t="s">
        <v>3375</v>
      </c>
      <c r="C38" s="381" t="s">
        <v>3376</v>
      </c>
      <c r="D38" s="382">
        <v>323595.22</v>
      </c>
      <c r="E38" s="380">
        <v>0</v>
      </c>
      <c r="F38" s="380">
        <v>0</v>
      </c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</row>
    <row r="39" spans="1:50" s="380" customFormat="1" ht="38.25" hidden="1" outlineLevel="1">
      <c r="A39" s="380" t="s">
        <v>3383</v>
      </c>
      <c r="B39" s="380" t="s">
        <v>3384</v>
      </c>
      <c r="C39" s="381" t="s">
        <v>3385</v>
      </c>
      <c r="D39" s="382">
        <v>179391.995</v>
      </c>
      <c r="E39" s="380">
        <v>0</v>
      </c>
      <c r="F39" s="380">
        <v>25105.131</v>
      </c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</row>
    <row r="40" spans="1:50" s="380" customFormat="1" ht="38.25" hidden="1" outlineLevel="1">
      <c r="A40" s="380" t="s">
        <v>3386</v>
      </c>
      <c r="B40" s="380" t="s">
        <v>3387</v>
      </c>
      <c r="C40" s="381" t="s">
        <v>3388</v>
      </c>
      <c r="D40" s="382">
        <v>150526.657</v>
      </c>
      <c r="E40" s="380">
        <v>0</v>
      </c>
      <c r="F40" s="380">
        <v>0</v>
      </c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</row>
    <row r="41" spans="1:50" s="380" customFormat="1" ht="38.25" hidden="1" outlineLevel="1">
      <c r="A41" s="380" t="s">
        <v>3389</v>
      </c>
      <c r="B41" s="380" t="s">
        <v>3390</v>
      </c>
      <c r="C41" s="381" t="s">
        <v>3391</v>
      </c>
      <c r="D41" s="382">
        <v>365535.959</v>
      </c>
      <c r="E41" s="380">
        <v>0</v>
      </c>
      <c r="F41" s="380">
        <v>29443.317000000003</v>
      </c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</row>
    <row r="42" spans="1:50" s="380" customFormat="1" ht="38.25" hidden="1" outlineLevel="1">
      <c r="A42" s="380" t="s">
        <v>3392</v>
      </c>
      <c r="B42" s="380" t="s">
        <v>3393</v>
      </c>
      <c r="C42" s="381" t="s">
        <v>3394</v>
      </c>
      <c r="D42" s="382">
        <v>206236.552</v>
      </c>
      <c r="E42" s="380">
        <v>0</v>
      </c>
      <c r="F42" s="380">
        <v>0</v>
      </c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</row>
    <row r="43" spans="1:50" s="380" customFormat="1" ht="38.25" hidden="1" outlineLevel="1">
      <c r="A43" s="380" t="s">
        <v>3398</v>
      </c>
      <c r="B43" s="380" t="s">
        <v>3399</v>
      </c>
      <c r="C43" s="381" t="s">
        <v>3400</v>
      </c>
      <c r="D43" s="382">
        <v>5342.7</v>
      </c>
      <c r="E43" s="380">
        <v>0</v>
      </c>
      <c r="F43" s="380">
        <v>-3946.33</v>
      </c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</row>
    <row r="44" spans="1:50" ht="12.75" customHeight="1" collapsed="1">
      <c r="A44" s="393" t="s">
        <v>3401</v>
      </c>
      <c r="B44" s="409" t="s">
        <v>1920</v>
      </c>
      <c r="C44" s="410"/>
      <c r="D44" s="412">
        <v>1230629.0829999999</v>
      </c>
      <c r="E44" s="412">
        <v>0</v>
      </c>
      <c r="F44" s="412">
        <v>50602.118</v>
      </c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</row>
    <row r="45" spans="1:50" s="380" customFormat="1" ht="38.25" hidden="1" outlineLevel="1">
      <c r="A45" s="380" t="s">
        <v>3414</v>
      </c>
      <c r="B45" s="380" t="s">
        <v>3415</v>
      </c>
      <c r="C45" s="381" t="s">
        <v>3416</v>
      </c>
      <c r="D45" s="382">
        <v>94150.83</v>
      </c>
      <c r="E45" s="380">
        <v>0</v>
      </c>
      <c r="F45" s="380">
        <v>0</v>
      </c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</row>
    <row r="46" spans="1:50" s="380" customFormat="1" ht="38.25" hidden="1" outlineLevel="1">
      <c r="A46" s="380" t="s">
        <v>3423</v>
      </c>
      <c r="B46" s="380" t="s">
        <v>3424</v>
      </c>
      <c r="C46" s="381" t="s">
        <v>3425</v>
      </c>
      <c r="D46" s="382">
        <v>47457.459</v>
      </c>
      <c r="E46" s="380">
        <v>0</v>
      </c>
      <c r="F46" s="380">
        <v>7223.764</v>
      </c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</row>
    <row r="47" spans="1:50" s="380" customFormat="1" ht="38.25" hidden="1" outlineLevel="1">
      <c r="A47" s="380" t="s">
        <v>3426</v>
      </c>
      <c r="B47" s="380" t="s">
        <v>3427</v>
      </c>
      <c r="C47" s="381" t="s">
        <v>3428</v>
      </c>
      <c r="D47" s="382">
        <v>39273.657</v>
      </c>
      <c r="E47" s="380">
        <v>0</v>
      </c>
      <c r="F47" s="380">
        <v>0</v>
      </c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</row>
    <row r="48" spans="1:50" s="380" customFormat="1" ht="38.25" hidden="1" outlineLevel="1">
      <c r="A48" s="380" t="s">
        <v>3429</v>
      </c>
      <c r="B48" s="380" t="s">
        <v>3430</v>
      </c>
      <c r="C48" s="381" t="s">
        <v>627</v>
      </c>
      <c r="D48" s="382">
        <v>78863.02100000001</v>
      </c>
      <c r="E48" s="380">
        <v>0</v>
      </c>
      <c r="F48" s="380">
        <v>4937.658</v>
      </c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</row>
    <row r="49" spans="1:50" s="380" customFormat="1" ht="38.25" hidden="1" outlineLevel="1">
      <c r="A49" s="380" t="s">
        <v>628</v>
      </c>
      <c r="B49" s="380" t="s">
        <v>629</v>
      </c>
      <c r="C49" s="381" t="s">
        <v>630</v>
      </c>
      <c r="D49" s="382">
        <v>1237.0810000000001</v>
      </c>
      <c r="E49" s="380">
        <v>0</v>
      </c>
      <c r="F49" s="380">
        <v>0</v>
      </c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</row>
    <row r="50" spans="1:50" s="380" customFormat="1" ht="38.25" hidden="1" outlineLevel="1">
      <c r="A50" s="380" t="s">
        <v>637</v>
      </c>
      <c r="B50" s="380" t="s">
        <v>638</v>
      </c>
      <c r="C50" s="381" t="s">
        <v>639</v>
      </c>
      <c r="D50" s="382">
        <v>885.79</v>
      </c>
      <c r="E50" s="380">
        <v>0</v>
      </c>
      <c r="F50" s="380">
        <v>-654.3</v>
      </c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</row>
    <row r="51" spans="1:50" ht="12.75" customHeight="1" collapsed="1">
      <c r="A51" s="393" t="s">
        <v>643</v>
      </c>
      <c r="B51" s="409" t="s">
        <v>1921</v>
      </c>
      <c r="C51" s="410"/>
      <c r="D51" s="412">
        <v>261867.83800000002</v>
      </c>
      <c r="E51" s="412">
        <v>0</v>
      </c>
      <c r="F51" s="412">
        <v>11507.122000000001</v>
      </c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3"/>
      <c r="AP51" s="393"/>
      <c r="AQ51" s="393"/>
      <c r="AR51" s="393"/>
      <c r="AS51" s="393"/>
      <c r="AT51" s="393"/>
      <c r="AU51" s="393"/>
      <c r="AV51" s="393"/>
      <c r="AW51" s="393"/>
      <c r="AX51" s="393"/>
    </row>
    <row r="52" spans="1:50" s="380" customFormat="1" ht="38.25" hidden="1" outlineLevel="1">
      <c r="A52" s="380" t="s">
        <v>650</v>
      </c>
      <c r="B52" s="380" t="s">
        <v>651</v>
      </c>
      <c r="C52" s="381" t="s">
        <v>652</v>
      </c>
      <c r="D52" s="382">
        <v>2115754.23</v>
      </c>
      <c r="E52" s="380">
        <v>0</v>
      </c>
      <c r="F52" s="380">
        <v>0</v>
      </c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</row>
    <row r="53" spans="1:50" s="380" customFormat="1" ht="38.25" hidden="1" outlineLevel="1">
      <c r="A53" s="380" t="s">
        <v>659</v>
      </c>
      <c r="B53" s="380" t="s">
        <v>660</v>
      </c>
      <c r="C53" s="381" t="s">
        <v>661</v>
      </c>
      <c r="D53" s="382">
        <v>80503.39</v>
      </c>
      <c r="E53" s="380">
        <v>0</v>
      </c>
      <c r="F53" s="380">
        <v>0</v>
      </c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</row>
    <row r="54" spans="1:50" ht="12.75" customHeight="1" collapsed="1">
      <c r="A54" s="393" t="s">
        <v>1922</v>
      </c>
      <c r="B54" s="409" t="s">
        <v>1923</v>
      </c>
      <c r="C54" s="410"/>
      <c r="D54" s="412">
        <v>2196257.62</v>
      </c>
      <c r="E54" s="412">
        <v>0</v>
      </c>
      <c r="F54" s="412">
        <v>0</v>
      </c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</row>
    <row r="55" spans="1:50" s="380" customFormat="1" ht="38.25" hidden="1" outlineLevel="1">
      <c r="A55" s="380" t="s">
        <v>1018</v>
      </c>
      <c r="B55" s="380" t="s">
        <v>1019</v>
      </c>
      <c r="C55" s="381" t="s">
        <v>1020</v>
      </c>
      <c r="D55" s="382">
        <v>224062.34</v>
      </c>
      <c r="E55" s="380">
        <v>125790</v>
      </c>
      <c r="F55" s="380">
        <v>0</v>
      </c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</row>
    <row r="56" spans="1:50" s="380" customFormat="1" ht="38.25" hidden="1" outlineLevel="1">
      <c r="A56" s="380" t="s">
        <v>1021</v>
      </c>
      <c r="B56" s="380" t="s">
        <v>1022</v>
      </c>
      <c r="C56" s="381" t="s">
        <v>1023</v>
      </c>
      <c r="D56" s="382">
        <v>411.08</v>
      </c>
      <c r="E56" s="380">
        <v>0</v>
      </c>
      <c r="F56" s="380">
        <v>0</v>
      </c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</row>
    <row r="57" spans="1:50" s="380" customFormat="1" ht="38.25" hidden="1" outlineLevel="1">
      <c r="A57" s="380" t="s">
        <v>1024</v>
      </c>
      <c r="B57" s="380" t="s">
        <v>1025</v>
      </c>
      <c r="C57" s="381" t="s">
        <v>1026</v>
      </c>
      <c r="D57" s="382">
        <v>349020.38</v>
      </c>
      <c r="E57" s="380">
        <v>0</v>
      </c>
      <c r="F57" s="380">
        <v>0</v>
      </c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</row>
    <row r="58" spans="1:50" s="380" customFormat="1" ht="38.25" hidden="1" outlineLevel="1">
      <c r="A58" s="380" t="s">
        <v>1027</v>
      </c>
      <c r="B58" s="380" t="s">
        <v>1028</v>
      </c>
      <c r="C58" s="381" t="s">
        <v>1029</v>
      </c>
      <c r="D58" s="382">
        <v>116871.28</v>
      </c>
      <c r="E58" s="380">
        <v>0</v>
      </c>
      <c r="F58" s="380">
        <v>0</v>
      </c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</row>
    <row r="59" spans="1:50" s="380" customFormat="1" ht="38.25" hidden="1" outlineLevel="1">
      <c r="A59" s="380" t="s">
        <v>1030</v>
      </c>
      <c r="B59" s="380" t="s">
        <v>1031</v>
      </c>
      <c r="C59" s="381" t="s">
        <v>1032</v>
      </c>
      <c r="D59" s="382">
        <v>-186.47</v>
      </c>
      <c r="E59" s="380">
        <v>0</v>
      </c>
      <c r="F59" s="380">
        <v>0</v>
      </c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</row>
    <row r="60" spans="1:50" s="380" customFormat="1" ht="38.25" hidden="1" outlineLevel="1">
      <c r="A60" s="380" t="s">
        <v>1036</v>
      </c>
      <c r="B60" s="380" t="s">
        <v>1037</v>
      </c>
      <c r="C60" s="381" t="s">
        <v>1038</v>
      </c>
      <c r="D60" s="382">
        <v>256484.7</v>
      </c>
      <c r="E60" s="380">
        <v>0</v>
      </c>
      <c r="F60" s="380">
        <v>0</v>
      </c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</row>
    <row r="61" spans="1:50" s="380" customFormat="1" ht="38.25" hidden="1" outlineLevel="1">
      <c r="A61" s="380" t="s">
        <v>1039</v>
      </c>
      <c r="B61" s="380" t="s">
        <v>1040</v>
      </c>
      <c r="C61" s="381" t="s">
        <v>1041</v>
      </c>
      <c r="D61" s="382">
        <v>13108.61</v>
      </c>
      <c r="E61" s="380">
        <v>0</v>
      </c>
      <c r="F61" s="380">
        <v>0</v>
      </c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</row>
    <row r="62" spans="1:50" s="380" customFormat="1" ht="38.25" hidden="1" outlineLevel="1">
      <c r="A62" s="380" t="s">
        <v>1042</v>
      </c>
      <c r="B62" s="380" t="s">
        <v>1043</v>
      </c>
      <c r="C62" s="381" t="s">
        <v>1044</v>
      </c>
      <c r="D62" s="382">
        <v>131236.76</v>
      </c>
      <c r="E62" s="380">
        <v>0</v>
      </c>
      <c r="F62" s="380">
        <v>0</v>
      </c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AW62" s="383"/>
      <c r="AX62" s="383"/>
    </row>
    <row r="63" spans="1:50" ht="12.75" customHeight="1" collapsed="1">
      <c r="A63" s="393" t="s">
        <v>1924</v>
      </c>
      <c r="B63" s="409" t="s">
        <v>1925</v>
      </c>
      <c r="C63" s="410"/>
      <c r="D63" s="412">
        <v>1091008.68</v>
      </c>
      <c r="E63" s="412">
        <v>125790</v>
      </c>
      <c r="F63" s="412">
        <v>0</v>
      </c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3"/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  <c r="AX63" s="393"/>
    </row>
    <row r="64" spans="1:50" s="380" customFormat="1" ht="38.25" hidden="1" outlineLevel="1">
      <c r="A64" s="380" t="s">
        <v>1646</v>
      </c>
      <c r="B64" s="380" t="s">
        <v>1647</v>
      </c>
      <c r="C64" s="381" t="s">
        <v>1648</v>
      </c>
      <c r="D64" s="382">
        <v>55654.12</v>
      </c>
      <c r="E64" s="380">
        <v>405</v>
      </c>
      <c r="F64" s="380">
        <v>4972.5</v>
      </c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</row>
    <row r="65" spans="1:50" s="380" customFormat="1" ht="38.25" hidden="1" outlineLevel="1">
      <c r="A65" s="380" t="s">
        <v>1649</v>
      </c>
      <c r="B65" s="380" t="s">
        <v>1650</v>
      </c>
      <c r="C65" s="381" t="s">
        <v>1651</v>
      </c>
      <c r="D65" s="382">
        <v>6217.05</v>
      </c>
      <c r="E65" s="380">
        <v>1807.52</v>
      </c>
      <c r="F65" s="380">
        <v>3415.98</v>
      </c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3"/>
    </row>
    <row r="66" spans="1:50" s="380" customFormat="1" ht="38.25" hidden="1" outlineLevel="1">
      <c r="A66" s="380" t="s">
        <v>1658</v>
      </c>
      <c r="B66" s="380" t="s">
        <v>1659</v>
      </c>
      <c r="C66" s="381" t="s">
        <v>1660</v>
      </c>
      <c r="D66" s="382">
        <v>107.65</v>
      </c>
      <c r="E66" s="380">
        <v>0</v>
      </c>
      <c r="F66" s="380">
        <v>0</v>
      </c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</row>
    <row r="67" spans="1:50" s="380" customFormat="1" ht="38.25" hidden="1" outlineLevel="1">
      <c r="A67" s="380" t="s">
        <v>1661</v>
      </c>
      <c r="B67" s="380" t="s">
        <v>1662</v>
      </c>
      <c r="C67" s="381" t="s">
        <v>1663</v>
      </c>
      <c r="D67" s="382">
        <v>14.95</v>
      </c>
      <c r="E67" s="380">
        <v>3198.31</v>
      </c>
      <c r="F67" s="380">
        <v>0</v>
      </c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</row>
    <row r="68" spans="1:50" s="380" customFormat="1" ht="38.25" hidden="1" outlineLevel="1">
      <c r="A68" s="380" t="s">
        <v>1664</v>
      </c>
      <c r="B68" s="380" t="s">
        <v>1665</v>
      </c>
      <c r="C68" s="381" t="s">
        <v>1666</v>
      </c>
      <c r="D68" s="382">
        <v>1721.34</v>
      </c>
      <c r="E68" s="380">
        <v>0</v>
      </c>
      <c r="F68" s="380">
        <v>0</v>
      </c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</row>
    <row r="69" spans="1:50" s="380" customFormat="1" ht="38.25" hidden="1" outlineLevel="1">
      <c r="A69" s="380" t="s">
        <v>1667</v>
      </c>
      <c r="B69" s="380" t="s">
        <v>1668</v>
      </c>
      <c r="C69" s="381" t="s">
        <v>1669</v>
      </c>
      <c r="D69" s="382">
        <v>1497.7</v>
      </c>
      <c r="E69" s="380">
        <v>57003.47</v>
      </c>
      <c r="F69" s="380">
        <v>0</v>
      </c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383"/>
    </row>
    <row r="70" spans="1:50" s="380" customFormat="1" ht="38.25" hidden="1" outlineLevel="1">
      <c r="A70" s="380" t="s">
        <v>1670</v>
      </c>
      <c r="B70" s="380" t="s">
        <v>1671</v>
      </c>
      <c r="C70" s="381" t="s">
        <v>1672</v>
      </c>
      <c r="D70" s="382">
        <v>1336.31</v>
      </c>
      <c r="E70" s="380">
        <v>0</v>
      </c>
      <c r="F70" s="380">
        <v>0</v>
      </c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383"/>
    </row>
    <row r="71" spans="1:50" s="380" customFormat="1" ht="38.25" hidden="1" outlineLevel="1">
      <c r="A71" s="380" t="s">
        <v>1673</v>
      </c>
      <c r="B71" s="380" t="s">
        <v>1674</v>
      </c>
      <c r="C71" s="381" t="s">
        <v>1675</v>
      </c>
      <c r="D71" s="382">
        <v>2935.81</v>
      </c>
      <c r="E71" s="380">
        <v>0</v>
      </c>
      <c r="F71" s="380">
        <v>0</v>
      </c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3"/>
      <c r="AX71" s="383"/>
    </row>
    <row r="72" spans="1:50" s="380" customFormat="1" ht="38.25" hidden="1" outlineLevel="1">
      <c r="A72" s="380" t="s">
        <v>1676</v>
      </c>
      <c r="B72" s="380" t="s">
        <v>1677</v>
      </c>
      <c r="C72" s="381" t="s">
        <v>1678</v>
      </c>
      <c r="D72" s="382">
        <v>1139.99</v>
      </c>
      <c r="E72" s="380">
        <v>0</v>
      </c>
      <c r="F72" s="380">
        <v>0</v>
      </c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AW72" s="383"/>
      <c r="AX72" s="383"/>
    </row>
    <row r="73" spans="1:50" s="380" customFormat="1" ht="38.25" hidden="1" outlineLevel="1">
      <c r="A73" s="380" t="s">
        <v>1679</v>
      </c>
      <c r="B73" s="380" t="s">
        <v>1680</v>
      </c>
      <c r="C73" s="381" t="s">
        <v>1681</v>
      </c>
      <c r="D73" s="382">
        <v>27116.53</v>
      </c>
      <c r="E73" s="380">
        <v>0</v>
      </c>
      <c r="F73" s="380">
        <v>0</v>
      </c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</row>
    <row r="74" spans="1:50" s="380" customFormat="1" ht="38.25" hidden="1" outlineLevel="1">
      <c r="A74" s="380" t="s">
        <v>1682</v>
      </c>
      <c r="B74" s="380" t="s">
        <v>1683</v>
      </c>
      <c r="C74" s="381" t="s">
        <v>1684</v>
      </c>
      <c r="D74" s="382">
        <v>234</v>
      </c>
      <c r="E74" s="380">
        <v>67411.92</v>
      </c>
      <c r="F74" s="380">
        <v>431.39</v>
      </c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</row>
    <row r="75" spans="1:50" s="380" customFormat="1" ht="38.25" hidden="1" outlineLevel="1">
      <c r="A75" s="380" t="s">
        <v>1685</v>
      </c>
      <c r="B75" s="380" t="s">
        <v>1686</v>
      </c>
      <c r="C75" s="381" t="s">
        <v>1687</v>
      </c>
      <c r="D75" s="382">
        <v>4575.07</v>
      </c>
      <c r="E75" s="380">
        <v>1377.52</v>
      </c>
      <c r="F75" s="380">
        <v>54.1</v>
      </c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</row>
    <row r="76" spans="1:50" s="380" customFormat="1" ht="38.25" hidden="1" outlineLevel="1">
      <c r="A76" s="380" t="s">
        <v>1694</v>
      </c>
      <c r="B76" s="380" t="s">
        <v>1695</v>
      </c>
      <c r="C76" s="381" t="s">
        <v>1696</v>
      </c>
      <c r="D76" s="382">
        <v>0</v>
      </c>
      <c r="E76" s="380">
        <v>1503.78</v>
      </c>
      <c r="F76" s="380">
        <v>5</v>
      </c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</row>
    <row r="77" spans="1:50" s="380" customFormat="1" ht="38.25" hidden="1" outlineLevel="1">
      <c r="A77" s="380" t="s">
        <v>1697</v>
      </c>
      <c r="B77" s="380" t="s">
        <v>1698</v>
      </c>
      <c r="C77" s="381" t="s">
        <v>1699</v>
      </c>
      <c r="D77" s="382">
        <v>90454.81</v>
      </c>
      <c r="E77" s="380">
        <v>90</v>
      </c>
      <c r="F77" s="380">
        <v>0</v>
      </c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</row>
    <row r="78" spans="1:50" s="380" customFormat="1" ht="38.25" hidden="1" outlineLevel="1">
      <c r="A78" s="380" t="s">
        <v>1700</v>
      </c>
      <c r="B78" s="380" t="s">
        <v>1701</v>
      </c>
      <c r="C78" s="381" t="s">
        <v>1702</v>
      </c>
      <c r="D78" s="382">
        <v>5400.64</v>
      </c>
      <c r="E78" s="380">
        <v>570.01</v>
      </c>
      <c r="F78" s="380">
        <v>0</v>
      </c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</row>
    <row r="79" spans="1:50" s="380" customFormat="1" ht="38.25" hidden="1" outlineLevel="1">
      <c r="A79" s="380" t="s">
        <v>1703</v>
      </c>
      <c r="B79" s="380" t="s">
        <v>1704</v>
      </c>
      <c r="C79" s="381" t="s">
        <v>1705</v>
      </c>
      <c r="D79" s="382">
        <v>4475.92</v>
      </c>
      <c r="E79" s="380">
        <v>0</v>
      </c>
      <c r="F79" s="380">
        <v>0</v>
      </c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</row>
    <row r="80" spans="1:50" s="380" customFormat="1" ht="38.25" hidden="1" outlineLevel="1">
      <c r="A80" s="380" t="s">
        <v>1706</v>
      </c>
      <c r="B80" s="380" t="s">
        <v>1707</v>
      </c>
      <c r="C80" s="381" t="s">
        <v>1708</v>
      </c>
      <c r="D80" s="382">
        <v>2859.27</v>
      </c>
      <c r="E80" s="380">
        <v>0</v>
      </c>
      <c r="F80" s="380">
        <v>0</v>
      </c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</row>
    <row r="81" spans="1:50" s="380" customFormat="1" ht="38.25" hidden="1" outlineLevel="1">
      <c r="A81" s="380" t="s">
        <v>1715</v>
      </c>
      <c r="B81" s="380" t="s">
        <v>1716</v>
      </c>
      <c r="C81" s="381" t="s">
        <v>1717</v>
      </c>
      <c r="D81" s="382">
        <v>0</v>
      </c>
      <c r="E81" s="380">
        <v>0</v>
      </c>
      <c r="F81" s="380">
        <v>92.35</v>
      </c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</row>
    <row r="82" spans="1:50" s="380" customFormat="1" ht="38.25" hidden="1" outlineLevel="1">
      <c r="A82" s="380" t="s">
        <v>1736</v>
      </c>
      <c r="B82" s="380" t="s">
        <v>1737</v>
      </c>
      <c r="C82" s="381" t="s">
        <v>1738</v>
      </c>
      <c r="D82" s="382">
        <v>0</v>
      </c>
      <c r="E82" s="380">
        <v>17325.27</v>
      </c>
      <c r="F82" s="380">
        <v>0</v>
      </c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</row>
    <row r="83" spans="1:50" s="380" customFormat="1" ht="38.25" hidden="1" outlineLevel="1">
      <c r="A83" s="380" t="s">
        <v>1754</v>
      </c>
      <c r="B83" s="380" t="s">
        <v>1755</v>
      </c>
      <c r="C83" s="381" t="s">
        <v>1756</v>
      </c>
      <c r="D83" s="382">
        <v>505.5</v>
      </c>
      <c r="E83" s="380">
        <v>0</v>
      </c>
      <c r="F83" s="380">
        <v>0</v>
      </c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</row>
    <row r="84" spans="1:50" s="380" customFormat="1" ht="38.25" hidden="1" outlineLevel="1">
      <c r="A84" s="380" t="s">
        <v>1793</v>
      </c>
      <c r="B84" s="380" t="s">
        <v>1794</v>
      </c>
      <c r="C84" s="381" t="s">
        <v>1795</v>
      </c>
      <c r="D84" s="382">
        <v>42159.32</v>
      </c>
      <c r="E84" s="380">
        <v>0</v>
      </c>
      <c r="F84" s="380">
        <v>0</v>
      </c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</row>
    <row r="85" spans="1:50" s="380" customFormat="1" ht="38.25" hidden="1" outlineLevel="1">
      <c r="A85" s="380" t="s">
        <v>1799</v>
      </c>
      <c r="B85" s="380" t="s">
        <v>1800</v>
      </c>
      <c r="C85" s="381" t="s">
        <v>1801</v>
      </c>
      <c r="D85" s="382">
        <v>18.25</v>
      </c>
      <c r="E85" s="380">
        <v>0</v>
      </c>
      <c r="F85" s="380">
        <v>0</v>
      </c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</row>
    <row r="86" spans="1:50" s="380" customFormat="1" ht="38.25" hidden="1" outlineLevel="1">
      <c r="A86" s="380" t="s">
        <v>1802</v>
      </c>
      <c r="B86" s="380" t="s">
        <v>1803</v>
      </c>
      <c r="C86" s="381" t="s">
        <v>1804</v>
      </c>
      <c r="D86" s="382">
        <v>33077.29</v>
      </c>
      <c r="E86" s="380">
        <v>0</v>
      </c>
      <c r="F86" s="380">
        <v>8386.41</v>
      </c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</row>
    <row r="87" spans="1:50" s="380" customFormat="1" ht="38.25" hidden="1" outlineLevel="1">
      <c r="A87" s="380" t="s">
        <v>1811</v>
      </c>
      <c r="B87" s="380" t="s">
        <v>1812</v>
      </c>
      <c r="C87" s="381" t="s">
        <v>1813</v>
      </c>
      <c r="D87" s="382">
        <v>38286.75</v>
      </c>
      <c r="E87" s="380">
        <v>8198.83</v>
      </c>
      <c r="F87" s="380">
        <v>0</v>
      </c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</row>
    <row r="88" spans="1:50" s="380" customFormat="1" ht="38.25" hidden="1" outlineLevel="1">
      <c r="A88" s="380" t="s">
        <v>1823</v>
      </c>
      <c r="B88" s="380" t="s">
        <v>1824</v>
      </c>
      <c r="C88" s="381" t="s">
        <v>1825</v>
      </c>
      <c r="D88" s="382">
        <v>0</v>
      </c>
      <c r="E88" s="380">
        <v>11394.21</v>
      </c>
      <c r="F88" s="380">
        <v>0</v>
      </c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</row>
    <row r="89" spans="1:50" s="380" customFormat="1" ht="38.25" hidden="1" outlineLevel="1">
      <c r="A89" s="380" t="s">
        <v>976</v>
      </c>
      <c r="B89" s="380" t="s">
        <v>977</v>
      </c>
      <c r="C89" s="381" t="s">
        <v>978</v>
      </c>
      <c r="D89" s="382">
        <v>73752.46</v>
      </c>
      <c r="E89" s="380">
        <v>10645.46</v>
      </c>
      <c r="F89" s="380">
        <v>0</v>
      </c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</row>
    <row r="90" spans="1:50" s="380" customFormat="1" ht="38.25" hidden="1" outlineLevel="1">
      <c r="A90" s="380" t="s">
        <v>979</v>
      </c>
      <c r="B90" s="380" t="s">
        <v>980</v>
      </c>
      <c r="C90" s="381" t="s">
        <v>981</v>
      </c>
      <c r="D90" s="382">
        <v>5389.93</v>
      </c>
      <c r="E90" s="380">
        <v>1195.08</v>
      </c>
      <c r="F90" s="380">
        <v>0</v>
      </c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</row>
    <row r="91" spans="1:50" s="380" customFormat="1" ht="38.25" hidden="1" outlineLevel="1">
      <c r="A91" s="380" t="s">
        <v>1000</v>
      </c>
      <c r="B91" s="380" t="s">
        <v>1001</v>
      </c>
      <c r="C91" s="381" t="s">
        <v>1002</v>
      </c>
      <c r="D91" s="382">
        <v>46577.54</v>
      </c>
      <c r="E91" s="380">
        <v>30650.77</v>
      </c>
      <c r="F91" s="380">
        <v>31810.18</v>
      </c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</row>
    <row r="92" spans="1:50" s="380" customFormat="1" ht="38.25" hidden="1" outlineLevel="1">
      <c r="A92" s="380" t="s">
        <v>1003</v>
      </c>
      <c r="B92" s="380" t="s">
        <v>1004</v>
      </c>
      <c r="C92" s="381" t="s">
        <v>1005</v>
      </c>
      <c r="D92" s="382">
        <v>0</v>
      </c>
      <c r="E92" s="380">
        <v>9511.51</v>
      </c>
      <c r="F92" s="380">
        <v>16991.19</v>
      </c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</row>
    <row r="93" spans="1:50" s="380" customFormat="1" ht="38.25" hidden="1" outlineLevel="1">
      <c r="A93" s="380" t="s">
        <v>1006</v>
      </c>
      <c r="B93" s="380" t="s">
        <v>1007</v>
      </c>
      <c r="C93" s="381" t="s">
        <v>1008</v>
      </c>
      <c r="D93" s="382">
        <v>0</v>
      </c>
      <c r="E93" s="380">
        <v>44329.55</v>
      </c>
      <c r="F93" s="380">
        <v>0</v>
      </c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</row>
    <row r="94" spans="1:50" s="380" customFormat="1" ht="38.25" hidden="1" outlineLevel="1">
      <c r="A94" s="380" t="s">
        <v>1009</v>
      </c>
      <c r="B94" s="380" t="s">
        <v>1010</v>
      </c>
      <c r="C94" s="381" t="s">
        <v>1011</v>
      </c>
      <c r="D94" s="382">
        <v>387225.91</v>
      </c>
      <c r="E94" s="380">
        <v>32947.48</v>
      </c>
      <c r="F94" s="380">
        <v>0</v>
      </c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AW94" s="383"/>
      <c r="AX94" s="383"/>
    </row>
    <row r="95" spans="1:50" s="380" customFormat="1" ht="38.25" hidden="1" outlineLevel="1">
      <c r="A95" s="380" t="s">
        <v>1012</v>
      </c>
      <c r="B95" s="380" t="s">
        <v>1013</v>
      </c>
      <c r="C95" s="381" t="s">
        <v>1014</v>
      </c>
      <c r="D95" s="382">
        <v>276.11</v>
      </c>
      <c r="E95" s="380">
        <v>741.1</v>
      </c>
      <c r="F95" s="380">
        <v>0</v>
      </c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AW95" s="383"/>
      <c r="AX95" s="383"/>
    </row>
    <row r="96" spans="1:50" ht="12.75" customHeight="1" collapsed="1">
      <c r="A96" s="393" t="s">
        <v>1926</v>
      </c>
      <c r="B96" s="409" t="s">
        <v>1927</v>
      </c>
      <c r="C96" s="410"/>
      <c r="D96" s="412">
        <v>833010.22</v>
      </c>
      <c r="E96" s="412">
        <v>300306.79</v>
      </c>
      <c r="F96" s="412">
        <v>66159.1</v>
      </c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  <c r="AN96" s="393"/>
      <c r="AO96" s="393"/>
      <c r="AP96" s="393"/>
      <c r="AQ96" s="393"/>
      <c r="AR96" s="393"/>
      <c r="AS96" s="393"/>
      <c r="AT96" s="393"/>
      <c r="AU96" s="393"/>
      <c r="AV96" s="393"/>
      <c r="AW96" s="393"/>
      <c r="AX96" s="393"/>
    </row>
    <row r="97" spans="1:50" s="380" customFormat="1" ht="38.25" hidden="1" outlineLevel="1">
      <c r="A97" s="380" t="s">
        <v>1892</v>
      </c>
      <c r="B97" s="380" t="s">
        <v>1893</v>
      </c>
      <c r="C97" s="381" t="s">
        <v>1894</v>
      </c>
      <c r="D97" s="382">
        <v>1285.5</v>
      </c>
      <c r="E97" s="380">
        <v>0</v>
      </c>
      <c r="F97" s="380">
        <v>0</v>
      </c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</row>
    <row r="98" spans="1:50" s="380" customFormat="1" ht="38.25" hidden="1" outlineLevel="1">
      <c r="A98" s="380" t="s">
        <v>1895</v>
      </c>
      <c r="B98" s="380" t="s">
        <v>1896</v>
      </c>
      <c r="C98" s="381" t="s">
        <v>1897</v>
      </c>
      <c r="D98" s="382">
        <v>29790.9</v>
      </c>
      <c r="E98" s="380">
        <v>-0.47</v>
      </c>
      <c r="F98" s="380">
        <v>0</v>
      </c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</row>
    <row r="99" spans="1:50" s="380" customFormat="1" ht="38.25" hidden="1" outlineLevel="1">
      <c r="A99" s="380" t="s">
        <v>1898</v>
      </c>
      <c r="B99" s="380" t="s">
        <v>1899</v>
      </c>
      <c r="C99" s="381" t="s">
        <v>1900</v>
      </c>
      <c r="D99" s="382">
        <v>0</v>
      </c>
      <c r="E99" s="380">
        <v>6353.22</v>
      </c>
      <c r="F99" s="380">
        <v>0</v>
      </c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</row>
    <row r="100" spans="1:50" s="380" customFormat="1" ht="38.25" hidden="1" outlineLevel="1">
      <c r="A100" s="380" t="s">
        <v>1904</v>
      </c>
      <c r="B100" s="380" t="s">
        <v>1905</v>
      </c>
      <c r="C100" s="381" t="s">
        <v>1906</v>
      </c>
      <c r="D100" s="382">
        <v>73160.7</v>
      </c>
      <c r="E100" s="380">
        <v>0</v>
      </c>
      <c r="F100" s="380">
        <v>0</v>
      </c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</row>
    <row r="101" spans="1:50" s="380" customFormat="1" ht="38.25" hidden="1" outlineLevel="1">
      <c r="A101" s="380" t="s">
        <v>1907</v>
      </c>
      <c r="B101" s="380" t="s">
        <v>1908</v>
      </c>
      <c r="C101" s="381" t="s">
        <v>1909</v>
      </c>
      <c r="D101" s="382">
        <v>7932.92</v>
      </c>
      <c r="E101" s="380">
        <v>-1000</v>
      </c>
      <c r="F101" s="380">
        <v>0</v>
      </c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AW101" s="383"/>
      <c r="AX101" s="383"/>
    </row>
    <row r="102" spans="1:50" s="380" customFormat="1" ht="38.25" hidden="1" outlineLevel="1">
      <c r="A102" s="380" t="s">
        <v>1910</v>
      </c>
      <c r="B102" s="380" t="s">
        <v>1911</v>
      </c>
      <c r="C102" s="381" t="s">
        <v>1912</v>
      </c>
      <c r="D102" s="382">
        <v>0</v>
      </c>
      <c r="E102" s="380">
        <v>3164.25</v>
      </c>
      <c r="F102" s="380">
        <v>-75.63</v>
      </c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383"/>
    </row>
    <row r="103" spans="1:50" s="380" customFormat="1" ht="38.25" hidden="1" outlineLevel="1">
      <c r="A103" s="380" t="s">
        <v>958</v>
      </c>
      <c r="B103" s="380" t="s">
        <v>959</v>
      </c>
      <c r="C103" s="381" t="s">
        <v>960</v>
      </c>
      <c r="D103" s="382">
        <v>0</v>
      </c>
      <c r="E103" s="380">
        <v>2600</v>
      </c>
      <c r="F103" s="380">
        <v>0</v>
      </c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AW103" s="383"/>
      <c r="AX103" s="383"/>
    </row>
    <row r="104" spans="1:50" ht="12.75" customHeight="1" collapsed="1">
      <c r="A104" s="393" t="s">
        <v>1928</v>
      </c>
      <c r="B104" s="409" t="s">
        <v>1929</v>
      </c>
      <c r="C104" s="410"/>
      <c r="D104" s="412">
        <v>112170.02</v>
      </c>
      <c r="E104" s="412">
        <v>11117</v>
      </c>
      <c r="F104" s="412">
        <v>-75.63</v>
      </c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  <c r="AO104" s="393"/>
      <c r="AP104" s="393"/>
      <c r="AQ104" s="393"/>
      <c r="AR104" s="393"/>
      <c r="AS104" s="393"/>
      <c r="AT104" s="393"/>
      <c r="AU104" s="393"/>
      <c r="AV104" s="393"/>
      <c r="AW104" s="393"/>
      <c r="AX104" s="393"/>
    </row>
    <row r="105" spans="1:50" s="380" customFormat="1" ht="38.25" hidden="1" outlineLevel="1">
      <c r="A105" s="380" t="s">
        <v>644</v>
      </c>
      <c r="B105" s="380" t="s">
        <v>645</v>
      </c>
      <c r="C105" s="381" t="s">
        <v>646</v>
      </c>
      <c r="D105" s="382">
        <v>-181764.89</v>
      </c>
      <c r="E105" s="380">
        <v>-87249.92</v>
      </c>
      <c r="F105" s="380">
        <v>-6494.93</v>
      </c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</row>
    <row r="106" spans="1:50" s="380" customFormat="1" ht="38.25" hidden="1" outlineLevel="1">
      <c r="A106" s="380" t="s">
        <v>665</v>
      </c>
      <c r="B106" s="380" t="s">
        <v>666</v>
      </c>
      <c r="C106" s="381" t="s">
        <v>667</v>
      </c>
      <c r="D106" s="382">
        <v>9028.75</v>
      </c>
      <c r="E106" s="380">
        <v>0</v>
      </c>
      <c r="F106" s="380">
        <v>0</v>
      </c>
      <c r="G106" s="383"/>
      <c r="H106" s="383"/>
      <c r="I106" s="383"/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3"/>
      <c r="AU106" s="383"/>
      <c r="AV106" s="383"/>
      <c r="AW106" s="383"/>
      <c r="AX106" s="383"/>
    </row>
    <row r="107" spans="1:50" s="380" customFormat="1" ht="38.25" hidden="1" outlineLevel="1">
      <c r="A107" s="380" t="s">
        <v>668</v>
      </c>
      <c r="B107" s="380" t="s">
        <v>669</v>
      </c>
      <c r="C107" s="381" t="s">
        <v>670</v>
      </c>
      <c r="D107" s="382">
        <v>671.07</v>
      </c>
      <c r="E107" s="380">
        <v>3391.4</v>
      </c>
      <c r="F107" s="380">
        <v>0</v>
      </c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AW107" s="383"/>
      <c r="AX107" s="383"/>
    </row>
    <row r="108" spans="1:50" s="380" customFormat="1" ht="38.25" hidden="1" outlineLevel="1">
      <c r="A108" s="380" t="s">
        <v>671</v>
      </c>
      <c r="B108" s="380" t="s">
        <v>672</v>
      </c>
      <c r="C108" s="381" t="s">
        <v>673</v>
      </c>
      <c r="D108" s="382">
        <v>0</v>
      </c>
      <c r="E108" s="380">
        <v>4816.22</v>
      </c>
      <c r="F108" s="380">
        <v>0</v>
      </c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383"/>
    </row>
    <row r="109" spans="1:50" s="380" customFormat="1" ht="38.25" hidden="1" outlineLevel="1">
      <c r="A109" s="380" t="s">
        <v>680</v>
      </c>
      <c r="B109" s="380" t="s">
        <v>681</v>
      </c>
      <c r="C109" s="381" t="s">
        <v>682</v>
      </c>
      <c r="D109" s="382">
        <v>0</v>
      </c>
      <c r="E109" s="380">
        <v>71301.52</v>
      </c>
      <c r="F109" s="380">
        <v>0</v>
      </c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</row>
    <row r="110" spans="1:50" s="380" customFormat="1" ht="38.25" hidden="1" outlineLevel="1">
      <c r="A110" s="380" t="s">
        <v>683</v>
      </c>
      <c r="B110" s="380" t="s">
        <v>684</v>
      </c>
      <c r="C110" s="381" t="s">
        <v>685</v>
      </c>
      <c r="D110" s="382">
        <v>0</v>
      </c>
      <c r="E110" s="380">
        <v>213073.15</v>
      </c>
      <c r="F110" s="380">
        <v>0</v>
      </c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</row>
    <row r="111" spans="1:50" s="380" customFormat="1" ht="38.25" hidden="1" outlineLevel="1">
      <c r="A111" s="380" t="s">
        <v>686</v>
      </c>
      <c r="B111" s="380" t="s">
        <v>687</v>
      </c>
      <c r="C111" s="381" t="s">
        <v>688</v>
      </c>
      <c r="D111" s="382">
        <v>0</v>
      </c>
      <c r="E111" s="380">
        <v>70061.03</v>
      </c>
      <c r="F111" s="380">
        <v>0</v>
      </c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3"/>
    </row>
    <row r="112" spans="1:50" s="380" customFormat="1" ht="38.25" hidden="1" outlineLevel="1">
      <c r="A112" s="380" t="s">
        <v>698</v>
      </c>
      <c r="B112" s="380" t="s">
        <v>699</v>
      </c>
      <c r="C112" s="381" t="s">
        <v>700</v>
      </c>
      <c r="D112" s="382">
        <v>34.79</v>
      </c>
      <c r="E112" s="380">
        <v>0</v>
      </c>
      <c r="F112" s="380">
        <v>0</v>
      </c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3"/>
      <c r="AW112" s="383"/>
      <c r="AX112" s="383"/>
    </row>
    <row r="113" spans="1:50" s="380" customFormat="1" ht="38.25" hidden="1" outlineLevel="1">
      <c r="A113" s="380" t="s">
        <v>707</v>
      </c>
      <c r="B113" s="380" t="s">
        <v>708</v>
      </c>
      <c r="C113" s="381" t="s">
        <v>709</v>
      </c>
      <c r="D113" s="382">
        <v>1214</v>
      </c>
      <c r="E113" s="380">
        <v>0</v>
      </c>
      <c r="F113" s="380">
        <v>636.73</v>
      </c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</row>
    <row r="114" spans="1:50" s="380" customFormat="1" ht="38.25" hidden="1" outlineLevel="1">
      <c r="A114" s="380" t="s">
        <v>725</v>
      </c>
      <c r="B114" s="380" t="s">
        <v>726</v>
      </c>
      <c r="C114" s="381" t="s">
        <v>1573</v>
      </c>
      <c r="D114" s="382">
        <v>423.72</v>
      </c>
      <c r="E114" s="380">
        <v>0</v>
      </c>
      <c r="F114" s="380">
        <v>9.2</v>
      </c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  <c r="AP114" s="383"/>
      <c r="AQ114" s="383"/>
      <c r="AR114" s="383"/>
      <c r="AS114" s="383"/>
      <c r="AT114" s="383"/>
      <c r="AU114" s="383"/>
      <c r="AV114" s="383"/>
      <c r="AW114" s="383"/>
      <c r="AX114" s="383"/>
    </row>
    <row r="115" spans="1:50" s="380" customFormat="1" ht="38.25" hidden="1" outlineLevel="1">
      <c r="A115" s="380" t="s">
        <v>1574</v>
      </c>
      <c r="B115" s="380" t="s">
        <v>1575</v>
      </c>
      <c r="C115" s="381" t="s">
        <v>1576</v>
      </c>
      <c r="D115" s="382">
        <v>6818.59</v>
      </c>
      <c r="E115" s="380">
        <v>1227.4</v>
      </c>
      <c r="F115" s="380">
        <v>0</v>
      </c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383"/>
      <c r="AT115" s="383"/>
      <c r="AU115" s="383"/>
      <c r="AV115" s="383"/>
      <c r="AW115" s="383"/>
      <c r="AX115" s="383"/>
    </row>
    <row r="116" spans="1:50" s="380" customFormat="1" ht="38.25" hidden="1" outlineLevel="1">
      <c r="A116" s="380" t="s">
        <v>1580</v>
      </c>
      <c r="B116" s="380" t="s">
        <v>1581</v>
      </c>
      <c r="C116" s="381" t="s">
        <v>1582</v>
      </c>
      <c r="D116" s="382">
        <v>9.84</v>
      </c>
      <c r="E116" s="380">
        <v>2563.38</v>
      </c>
      <c r="F116" s="380">
        <v>0</v>
      </c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AW116" s="383"/>
      <c r="AX116" s="383"/>
    </row>
    <row r="117" spans="1:50" s="380" customFormat="1" ht="38.25" hidden="1" outlineLevel="1">
      <c r="A117" s="380" t="s">
        <v>1583</v>
      </c>
      <c r="B117" s="380" t="s">
        <v>1584</v>
      </c>
      <c r="C117" s="381" t="s">
        <v>1585</v>
      </c>
      <c r="D117" s="382">
        <v>0</v>
      </c>
      <c r="E117" s="380">
        <v>0</v>
      </c>
      <c r="F117" s="380">
        <v>23.42</v>
      </c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</row>
    <row r="118" spans="1:50" s="380" customFormat="1" ht="38.25" hidden="1" outlineLevel="1">
      <c r="A118" s="380" t="s">
        <v>1589</v>
      </c>
      <c r="B118" s="380" t="s">
        <v>1590</v>
      </c>
      <c r="C118" s="381" t="s">
        <v>1591</v>
      </c>
      <c r="D118" s="382">
        <v>93070.72</v>
      </c>
      <c r="E118" s="380">
        <v>2521.64</v>
      </c>
      <c r="F118" s="380">
        <v>0</v>
      </c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  <c r="AO118" s="383"/>
      <c r="AP118" s="383"/>
      <c r="AQ118" s="383"/>
      <c r="AR118" s="383"/>
      <c r="AS118" s="383"/>
      <c r="AT118" s="383"/>
      <c r="AU118" s="383"/>
      <c r="AV118" s="383"/>
      <c r="AW118" s="383"/>
      <c r="AX118" s="383"/>
    </row>
    <row r="119" spans="1:50" s="380" customFormat="1" ht="38.25" hidden="1" outlineLevel="1">
      <c r="A119" s="380" t="s">
        <v>1592</v>
      </c>
      <c r="B119" s="380" t="s">
        <v>1593</v>
      </c>
      <c r="C119" s="381" t="s">
        <v>1594</v>
      </c>
      <c r="D119" s="382">
        <v>19.96</v>
      </c>
      <c r="E119" s="380">
        <v>0</v>
      </c>
      <c r="F119" s="380">
        <v>0</v>
      </c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  <c r="AO119" s="383"/>
      <c r="AP119" s="383"/>
      <c r="AQ119" s="383"/>
      <c r="AR119" s="383"/>
      <c r="AS119" s="383"/>
      <c r="AT119" s="383"/>
      <c r="AU119" s="383"/>
      <c r="AV119" s="383"/>
      <c r="AW119" s="383"/>
      <c r="AX119" s="383"/>
    </row>
    <row r="120" spans="1:50" s="380" customFormat="1" ht="38.25" hidden="1" outlineLevel="1">
      <c r="A120" s="380" t="s">
        <v>1601</v>
      </c>
      <c r="B120" s="380" t="s">
        <v>1602</v>
      </c>
      <c r="C120" s="381" t="s">
        <v>1603</v>
      </c>
      <c r="D120" s="382">
        <v>2797.42</v>
      </c>
      <c r="E120" s="380">
        <v>0</v>
      </c>
      <c r="F120" s="380">
        <v>0</v>
      </c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383"/>
      <c r="AL120" s="383"/>
      <c r="AM120" s="383"/>
      <c r="AN120" s="383"/>
      <c r="AO120" s="383"/>
      <c r="AP120" s="383"/>
      <c r="AQ120" s="383"/>
      <c r="AR120" s="383"/>
      <c r="AS120" s="383"/>
      <c r="AT120" s="383"/>
      <c r="AU120" s="383"/>
      <c r="AV120" s="383"/>
      <c r="AW120" s="383"/>
      <c r="AX120" s="383"/>
    </row>
    <row r="121" spans="1:50" s="380" customFormat="1" ht="38.25" hidden="1" outlineLevel="1">
      <c r="A121" s="380" t="s">
        <v>1604</v>
      </c>
      <c r="B121" s="380" t="s">
        <v>1605</v>
      </c>
      <c r="C121" s="381" t="s">
        <v>1606</v>
      </c>
      <c r="D121" s="382">
        <v>650.54</v>
      </c>
      <c r="E121" s="380">
        <v>0</v>
      </c>
      <c r="F121" s="380">
        <v>0</v>
      </c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3"/>
      <c r="AS121" s="383"/>
      <c r="AT121" s="383"/>
      <c r="AU121" s="383"/>
      <c r="AV121" s="383"/>
      <c r="AW121" s="383"/>
      <c r="AX121" s="383"/>
    </row>
    <row r="122" spans="1:50" s="380" customFormat="1" ht="38.25" hidden="1" outlineLevel="1">
      <c r="A122" s="380" t="s">
        <v>1607</v>
      </c>
      <c r="B122" s="380" t="s">
        <v>1608</v>
      </c>
      <c r="C122" s="381" t="s">
        <v>1609</v>
      </c>
      <c r="D122" s="382">
        <v>1606.42</v>
      </c>
      <c r="E122" s="380">
        <v>0</v>
      </c>
      <c r="F122" s="380">
        <v>0.11</v>
      </c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  <c r="AD122" s="383"/>
      <c r="AE122" s="383"/>
      <c r="AF122" s="383"/>
      <c r="AG122" s="383"/>
      <c r="AH122" s="383"/>
      <c r="AI122" s="383"/>
      <c r="AJ122" s="383"/>
      <c r="AK122" s="383"/>
      <c r="AL122" s="383"/>
      <c r="AM122" s="383"/>
      <c r="AN122" s="383"/>
      <c r="AO122" s="383"/>
      <c r="AP122" s="383"/>
      <c r="AQ122" s="383"/>
      <c r="AR122" s="383"/>
      <c r="AS122" s="383"/>
      <c r="AT122" s="383"/>
      <c r="AU122" s="383"/>
      <c r="AV122" s="383"/>
      <c r="AW122" s="383"/>
      <c r="AX122" s="383"/>
    </row>
    <row r="123" spans="1:50" s="380" customFormat="1" ht="38.25" hidden="1" outlineLevel="1">
      <c r="A123" s="380" t="s">
        <v>1628</v>
      </c>
      <c r="B123" s="380" t="s">
        <v>1629</v>
      </c>
      <c r="C123" s="381" t="s">
        <v>1630</v>
      </c>
      <c r="D123" s="382">
        <v>2484.65</v>
      </c>
      <c r="E123" s="380">
        <v>1758.22</v>
      </c>
      <c r="F123" s="380">
        <v>329.75</v>
      </c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3"/>
      <c r="AO123" s="383"/>
      <c r="AP123" s="383"/>
      <c r="AQ123" s="383"/>
      <c r="AR123" s="383"/>
      <c r="AS123" s="383"/>
      <c r="AT123" s="383"/>
      <c r="AU123" s="383"/>
      <c r="AV123" s="383"/>
      <c r="AW123" s="383"/>
      <c r="AX123" s="383"/>
    </row>
    <row r="124" spans="1:50" s="380" customFormat="1" ht="38.25" hidden="1" outlineLevel="1">
      <c r="A124" s="380" t="s">
        <v>1634</v>
      </c>
      <c r="B124" s="380" t="s">
        <v>1635</v>
      </c>
      <c r="C124" s="381" t="s">
        <v>1636</v>
      </c>
      <c r="D124" s="382">
        <v>23463.8</v>
      </c>
      <c r="E124" s="380">
        <v>0</v>
      </c>
      <c r="F124" s="380">
        <v>0</v>
      </c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383"/>
      <c r="AG124" s="383"/>
      <c r="AH124" s="383"/>
      <c r="AI124" s="383"/>
      <c r="AJ124" s="383"/>
      <c r="AK124" s="383"/>
      <c r="AL124" s="383"/>
      <c r="AM124" s="383"/>
      <c r="AN124" s="383"/>
      <c r="AO124" s="383"/>
      <c r="AP124" s="383"/>
      <c r="AQ124" s="383"/>
      <c r="AR124" s="383"/>
      <c r="AS124" s="383"/>
      <c r="AT124" s="383"/>
      <c r="AU124" s="383"/>
      <c r="AV124" s="383"/>
      <c r="AW124" s="383"/>
      <c r="AX124" s="383"/>
    </row>
    <row r="125" spans="1:50" s="380" customFormat="1" ht="38.25" hidden="1" outlineLevel="1">
      <c r="A125" s="380" t="s">
        <v>1637</v>
      </c>
      <c r="B125" s="380" t="s">
        <v>1638</v>
      </c>
      <c r="C125" s="381" t="s">
        <v>1639</v>
      </c>
      <c r="D125" s="382">
        <v>448.59</v>
      </c>
      <c r="E125" s="380">
        <v>18383.8</v>
      </c>
      <c r="F125" s="380">
        <v>0</v>
      </c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  <c r="AH125" s="383"/>
      <c r="AI125" s="383"/>
      <c r="AJ125" s="383"/>
      <c r="AK125" s="383"/>
      <c r="AL125" s="383"/>
      <c r="AM125" s="383"/>
      <c r="AN125" s="383"/>
      <c r="AO125" s="383"/>
      <c r="AP125" s="383"/>
      <c r="AQ125" s="383"/>
      <c r="AR125" s="383"/>
      <c r="AS125" s="383"/>
      <c r="AT125" s="383"/>
      <c r="AU125" s="383"/>
      <c r="AV125" s="383"/>
      <c r="AW125" s="383"/>
      <c r="AX125" s="383"/>
    </row>
    <row r="126" spans="1:50" s="380" customFormat="1" ht="38.25" hidden="1" outlineLevel="1">
      <c r="A126" s="380" t="s">
        <v>1640</v>
      </c>
      <c r="B126" s="380" t="s">
        <v>1641</v>
      </c>
      <c r="C126" s="381" t="s">
        <v>1642</v>
      </c>
      <c r="D126" s="382">
        <v>749.47</v>
      </c>
      <c r="E126" s="380">
        <v>3413.76</v>
      </c>
      <c r="F126" s="380">
        <v>0</v>
      </c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3"/>
      <c r="AI126" s="383"/>
      <c r="AJ126" s="383"/>
      <c r="AK126" s="383"/>
      <c r="AL126" s="383"/>
      <c r="AM126" s="383"/>
      <c r="AN126" s="383"/>
      <c r="AO126" s="383"/>
      <c r="AP126" s="383"/>
      <c r="AQ126" s="383"/>
      <c r="AR126" s="383"/>
      <c r="AS126" s="383"/>
      <c r="AT126" s="383"/>
      <c r="AU126" s="383"/>
      <c r="AV126" s="383"/>
      <c r="AW126" s="383"/>
      <c r="AX126" s="383"/>
    </row>
    <row r="127" spans="1:50" s="380" customFormat="1" ht="38.25" hidden="1" outlineLevel="1">
      <c r="A127" s="380" t="s">
        <v>1757</v>
      </c>
      <c r="B127" s="380" t="s">
        <v>1758</v>
      </c>
      <c r="C127" s="381" t="s">
        <v>1759</v>
      </c>
      <c r="D127" s="382">
        <v>0</v>
      </c>
      <c r="E127" s="380">
        <v>5200.55</v>
      </c>
      <c r="F127" s="380">
        <v>1200</v>
      </c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3"/>
      <c r="AL127" s="383"/>
      <c r="AM127" s="383"/>
      <c r="AN127" s="383"/>
      <c r="AO127" s="383"/>
      <c r="AP127" s="383"/>
      <c r="AQ127" s="383"/>
      <c r="AR127" s="383"/>
      <c r="AS127" s="383"/>
      <c r="AT127" s="383"/>
      <c r="AU127" s="383"/>
      <c r="AV127" s="383"/>
      <c r="AW127" s="383"/>
      <c r="AX127" s="383"/>
    </row>
    <row r="128" spans="1:50" s="380" customFormat="1" ht="38.25" hidden="1" outlineLevel="1">
      <c r="A128" s="380" t="s">
        <v>1760</v>
      </c>
      <c r="B128" s="380" t="s">
        <v>1761</v>
      </c>
      <c r="C128" s="381" t="s">
        <v>1762</v>
      </c>
      <c r="D128" s="382">
        <v>0</v>
      </c>
      <c r="E128" s="380">
        <v>300</v>
      </c>
      <c r="F128" s="380">
        <v>0</v>
      </c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  <c r="AH128" s="383"/>
      <c r="AI128" s="383"/>
      <c r="AJ128" s="383"/>
      <c r="AK128" s="383"/>
      <c r="AL128" s="383"/>
      <c r="AM128" s="383"/>
      <c r="AN128" s="383"/>
      <c r="AO128" s="383"/>
      <c r="AP128" s="383"/>
      <c r="AQ128" s="383"/>
      <c r="AR128" s="383"/>
      <c r="AS128" s="383"/>
      <c r="AT128" s="383"/>
      <c r="AU128" s="383"/>
      <c r="AV128" s="383"/>
      <c r="AW128" s="383"/>
      <c r="AX128" s="383"/>
    </row>
    <row r="129" spans="1:50" s="380" customFormat="1" ht="38.25" hidden="1" outlineLevel="1">
      <c r="A129" s="380" t="s">
        <v>1769</v>
      </c>
      <c r="B129" s="380" t="s">
        <v>1770</v>
      </c>
      <c r="C129" s="381" t="s">
        <v>1771</v>
      </c>
      <c r="D129" s="382">
        <v>10</v>
      </c>
      <c r="E129" s="380">
        <v>137.1</v>
      </c>
      <c r="F129" s="380">
        <v>0</v>
      </c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  <c r="AH129" s="383"/>
      <c r="AI129" s="383"/>
      <c r="AJ129" s="383"/>
      <c r="AK129" s="383"/>
      <c r="AL129" s="383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AW129" s="383"/>
      <c r="AX129" s="383"/>
    </row>
    <row r="130" spans="1:50" s="380" customFormat="1" ht="38.25" hidden="1" outlineLevel="1">
      <c r="A130" s="380" t="s">
        <v>1775</v>
      </c>
      <c r="B130" s="380" t="s">
        <v>1776</v>
      </c>
      <c r="C130" s="381" t="s">
        <v>1777</v>
      </c>
      <c r="D130" s="382">
        <v>319.07</v>
      </c>
      <c r="E130" s="380">
        <v>3365</v>
      </c>
      <c r="F130" s="380">
        <v>0</v>
      </c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3"/>
      <c r="AI130" s="383"/>
      <c r="AJ130" s="383"/>
      <c r="AK130" s="383"/>
      <c r="AL130" s="383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</row>
    <row r="131" spans="1:50" s="380" customFormat="1" ht="38.25" hidden="1" outlineLevel="1">
      <c r="A131" s="380" t="s">
        <v>1778</v>
      </c>
      <c r="B131" s="380" t="s">
        <v>1779</v>
      </c>
      <c r="C131" s="381" t="s">
        <v>1780</v>
      </c>
      <c r="D131" s="382">
        <v>139.97</v>
      </c>
      <c r="E131" s="380">
        <v>0</v>
      </c>
      <c r="F131" s="380">
        <v>0</v>
      </c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3"/>
      <c r="AI131" s="383"/>
      <c r="AJ131" s="383"/>
      <c r="AK131" s="383"/>
      <c r="AL131" s="383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AW131" s="383"/>
      <c r="AX131" s="383"/>
    </row>
    <row r="132" spans="1:50" s="380" customFormat="1" ht="38.25" hidden="1" outlineLevel="1">
      <c r="A132" s="380" t="s">
        <v>1787</v>
      </c>
      <c r="B132" s="380" t="s">
        <v>1788</v>
      </c>
      <c r="C132" s="381" t="s">
        <v>1789</v>
      </c>
      <c r="D132" s="382">
        <v>34527.5</v>
      </c>
      <c r="E132" s="380">
        <v>0</v>
      </c>
      <c r="F132" s="380">
        <v>0</v>
      </c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</row>
    <row r="133" spans="1:50" s="380" customFormat="1" ht="38.25" hidden="1" outlineLevel="1">
      <c r="A133" s="380" t="s">
        <v>1826</v>
      </c>
      <c r="B133" s="380" t="s">
        <v>1827</v>
      </c>
      <c r="C133" s="381" t="s">
        <v>1828</v>
      </c>
      <c r="D133" s="382">
        <v>0</v>
      </c>
      <c r="E133" s="380">
        <v>696</v>
      </c>
      <c r="F133" s="380">
        <v>0</v>
      </c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  <c r="AH133" s="383"/>
      <c r="AI133" s="383"/>
      <c r="AJ133" s="383"/>
      <c r="AK133" s="383"/>
      <c r="AL133" s="383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AW133" s="383"/>
      <c r="AX133" s="383"/>
    </row>
    <row r="134" spans="1:50" s="380" customFormat="1" ht="38.25" hidden="1" outlineLevel="1">
      <c r="A134" s="380" t="s">
        <v>1832</v>
      </c>
      <c r="B134" s="380" t="s">
        <v>1833</v>
      </c>
      <c r="C134" s="381" t="s">
        <v>1834</v>
      </c>
      <c r="D134" s="382">
        <v>0</v>
      </c>
      <c r="E134" s="380">
        <v>1162.89</v>
      </c>
      <c r="F134" s="380">
        <v>0</v>
      </c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</row>
    <row r="135" spans="1:50" s="380" customFormat="1" ht="38.25" hidden="1" outlineLevel="1">
      <c r="A135" s="380" t="s">
        <v>1835</v>
      </c>
      <c r="B135" s="380" t="s">
        <v>1836</v>
      </c>
      <c r="C135" s="381" t="s">
        <v>1837</v>
      </c>
      <c r="D135" s="382">
        <v>5368.21</v>
      </c>
      <c r="E135" s="380">
        <v>0</v>
      </c>
      <c r="F135" s="380">
        <v>0</v>
      </c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</row>
    <row r="136" spans="1:50" s="380" customFormat="1" ht="38.25" hidden="1" outlineLevel="1">
      <c r="A136" s="380" t="s">
        <v>1841</v>
      </c>
      <c r="B136" s="380" t="s">
        <v>1842</v>
      </c>
      <c r="C136" s="381" t="s">
        <v>1843</v>
      </c>
      <c r="D136" s="382">
        <v>8073.722000000001</v>
      </c>
      <c r="E136" s="380">
        <v>3715.8</v>
      </c>
      <c r="F136" s="380">
        <v>7377.71</v>
      </c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</row>
    <row r="137" spans="1:50" s="380" customFormat="1" ht="38.25" hidden="1" outlineLevel="1">
      <c r="A137" s="380" t="s">
        <v>1856</v>
      </c>
      <c r="B137" s="380" t="s">
        <v>1857</v>
      </c>
      <c r="C137" s="381" t="s">
        <v>1858</v>
      </c>
      <c r="D137" s="382">
        <v>0</v>
      </c>
      <c r="E137" s="380">
        <v>2500</v>
      </c>
      <c r="F137" s="380">
        <v>0</v>
      </c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  <c r="AH137" s="383"/>
      <c r="AI137" s="383"/>
      <c r="AJ137" s="383"/>
      <c r="AK137" s="383"/>
      <c r="AL137" s="383"/>
      <c r="AM137" s="383"/>
      <c r="AN137" s="383"/>
      <c r="AO137" s="383"/>
      <c r="AP137" s="383"/>
      <c r="AQ137" s="383"/>
      <c r="AR137" s="383"/>
      <c r="AS137" s="383"/>
      <c r="AT137" s="383"/>
      <c r="AU137" s="383"/>
      <c r="AV137" s="383"/>
      <c r="AW137" s="383"/>
      <c r="AX137" s="383"/>
    </row>
    <row r="138" spans="1:50" s="380" customFormat="1" ht="38.25" hidden="1" outlineLevel="1">
      <c r="A138" s="380" t="s">
        <v>1859</v>
      </c>
      <c r="B138" s="380" t="s">
        <v>1860</v>
      </c>
      <c r="C138" s="381" t="s">
        <v>1861</v>
      </c>
      <c r="D138" s="382">
        <v>300</v>
      </c>
      <c r="E138" s="380">
        <v>0</v>
      </c>
      <c r="F138" s="380">
        <v>0</v>
      </c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3"/>
      <c r="AN138" s="383"/>
      <c r="AO138" s="383"/>
      <c r="AP138" s="383"/>
      <c r="AQ138" s="383"/>
      <c r="AR138" s="383"/>
      <c r="AS138" s="383"/>
      <c r="AT138" s="383"/>
      <c r="AU138" s="383"/>
      <c r="AV138" s="383"/>
      <c r="AW138" s="383"/>
      <c r="AX138" s="383"/>
    </row>
    <row r="139" spans="1:50" s="380" customFormat="1" ht="38.25" hidden="1" outlineLevel="1">
      <c r="A139" s="380" t="s">
        <v>1865</v>
      </c>
      <c r="B139" s="380" t="s">
        <v>1866</v>
      </c>
      <c r="C139" s="381" t="s">
        <v>1867</v>
      </c>
      <c r="D139" s="382">
        <v>3537.32</v>
      </c>
      <c r="E139" s="380">
        <v>0</v>
      </c>
      <c r="F139" s="380">
        <v>140</v>
      </c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383"/>
      <c r="AW139" s="383"/>
      <c r="AX139" s="383"/>
    </row>
    <row r="140" spans="1:50" s="380" customFormat="1" ht="38.25" hidden="1" outlineLevel="1">
      <c r="A140" s="380" t="s">
        <v>1868</v>
      </c>
      <c r="B140" s="380" t="s">
        <v>1869</v>
      </c>
      <c r="C140" s="381" t="s">
        <v>1870</v>
      </c>
      <c r="D140" s="382">
        <v>0</v>
      </c>
      <c r="E140" s="380">
        <v>30403.08</v>
      </c>
      <c r="F140" s="380">
        <v>0</v>
      </c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3"/>
      <c r="AO140" s="383"/>
      <c r="AP140" s="383"/>
      <c r="AQ140" s="383"/>
      <c r="AR140" s="383"/>
      <c r="AS140" s="383"/>
      <c r="AT140" s="383"/>
      <c r="AU140" s="383"/>
      <c r="AV140" s="383"/>
      <c r="AW140" s="383"/>
      <c r="AX140" s="383"/>
    </row>
    <row r="141" spans="1:50" s="380" customFormat="1" ht="38.25" hidden="1" outlineLevel="1">
      <c r="A141" s="380" t="s">
        <v>1874</v>
      </c>
      <c r="B141" s="380" t="s">
        <v>1875</v>
      </c>
      <c r="C141" s="381" t="s">
        <v>1876</v>
      </c>
      <c r="D141" s="382">
        <v>0</v>
      </c>
      <c r="E141" s="380">
        <v>1486.94</v>
      </c>
      <c r="F141" s="380">
        <v>0</v>
      </c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3"/>
      <c r="AO141" s="383"/>
      <c r="AP141" s="383"/>
      <c r="AQ141" s="383"/>
      <c r="AR141" s="383"/>
      <c r="AS141" s="383"/>
      <c r="AT141" s="383"/>
      <c r="AU141" s="383"/>
      <c r="AV141" s="383"/>
      <c r="AW141" s="383"/>
      <c r="AX141" s="383"/>
    </row>
    <row r="142" spans="1:50" s="380" customFormat="1" ht="38.25" hidden="1" outlineLevel="1">
      <c r="A142" s="380" t="s">
        <v>1877</v>
      </c>
      <c r="B142" s="380" t="s">
        <v>1878</v>
      </c>
      <c r="C142" s="381" t="s">
        <v>1879</v>
      </c>
      <c r="D142" s="382">
        <v>0</v>
      </c>
      <c r="E142" s="380">
        <v>0</v>
      </c>
      <c r="F142" s="380">
        <v>-35</v>
      </c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  <c r="AH142" s="383"/>
      <c r="AI142" s="383"/>
      <c r="AJ142" s="383"/>
      <c r="AK142" s="383"/>
      <c r="AL142" s="383"/>
      <c r="AM142" s="383"/>
      <c r="AN142" s="383"/>
      <c r="AO142" s="383"/>
      <c r="AP142" s="383"/>
      <c r="AQ142" s="383"/>
      <c r="AR142" s="383"/>
      <c r="AS142" s="383"/>
      <c r="AT142" s="383"/>
      <c r="AU142" s="383"/>
      <c r="AV142" s="383"/>
      <c r="AW142" s="383"/>
      <c r="AX142" s="383"/>
    </row>
    <row r="143" spans="1:50" s="380" customFormat="1" ht="38.25" hidden="1" outlineLevel="1">
      <c r="A143" s="380" t="s">
        <v>1880</v>
      </c>
      <c r="B143" s="380" t="s">
        <v>1881</v>
      </c>
      <c r="C143" s="381" t="s">
        <v>1882</v>
      </c>
      <c r="D143" s="382">
        <v>0</v>
      </c>
      <c r="E143" s="380">
        <v>21.01</v>
      </c>
      <c r="F143" s="380">
        <v>0</v>
      </c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</row>
    <row r="144" spans="1:50" s="380" customFormat="1" ht="38.25" hidden="1" outlineLevel="1">
      <c r="A144" s="380" t="s">
        <v>964</v>
      </c>
      <c r="B144" s="380" t="s">
        <v>965</v>
      </c>
      <c r="C144" s="381" t="s">
        <v>966</v>
      </c>
      <c r="D144" s="382">
        <v>55.97</v>
      </c>
      <c r="E144" s="380">
        <v>4064.02</v>
      </c>
      <c r="F144" s="380">
        <v>0</v>
      </c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  <c r="AM144" s="383"/>
      <c r="AN144" s="383"/>
      <c r="AO144" s="383"/>
      <c r="AP144" s="383"/>
      <c r="AQ144" s="383"/>
      <c r="AR144" s="383"/>
      <c r="AS144" s="383"/>
      <c r="AT144" s="383"/>
      <c r="AU144" s="383"/>
      <c r="AV144" s="383"/>
      <c r="AW144" s="383"/>
      <c r="AX144" s="383"/>
    </row>
    <row r="145" spans="1:50" s="380" customFormat="1" ht="38.25" hidden="1" outlineLevel="1">
      <c r="A145" s="380" t="s">
        <v>1092</v>
      </c>
      <c r="B145" s="380" t="s">
        <v>1093</v>
      </c>
      <c r="C145" s="381" t="s">
        <v>1094</v>
      </c>
      <c r="D145" s="382">
        <v>0</v>
      </c>
      <c r="E145" s="380">
        <v>6020</v>
      </c>
      <c r="F145" s="380">
        <v>0</v>
      </c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/>
      <c r="AJ145" s="383"/>
      <c r="AK145" s="383"/>
      <c r="AL145" s="383"/>
      <c r="AM145" s="383"/>
      <c r="AN145" s="383"/>
      <c r="AO145" s="383"/>
      <c r="AP145" s="383"/>
      <c r="AQ145" s="383"/>
      <c r="AR145" s="383"/>
      <c r="AS145" s="383"/>
      <c r="AT145" s="383"/>
      <c r="AU145" s="383"/>
      <c r="AV145" s="383"/>
      <c r="AW145" s="383"/>
      <c r="AX145" s="383"/>
    </row>
    <row r="146" spans="1:50" s="380" customFormat="1" ht="38.25" hidden="1" outlineLevel="1">
      <c r="A146" s="380" t="s">
        <v>1101</v>
      </c>
      <c r="B146" s="380" t="s">
        <v>1102</v>
      </c>
      <c r="C146" s="381" t="s">
        <v>1103</v>
      </c>
      <c r="D146" s="382">
        <v>18400</v>
      </c>
      <c r="E146" s="380">
        <v>0</v>
      </c>
      <c r="F146" s="380">
        <v>0</v>
      </c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/>
      <c r="AJ146" s="383"/>
      <c r="AK146" s="383"/>
      <c r="AL146" s="383"/>
      <c r="AM146" s="383"/>
      <c r="AN146" s="383"/>
      <c r="AO146" s="383"/>
      <c r="AP146" s="383"/>
      <c r="AQ146" s="383"/>
      <c r="AR146" s="383"/>
      <c r="AS146" s="383"/>
      <c r="AT146" s="383"/>
      <c r="AU146" s="383"/>
      <c r="AV146" s="383"/>
      <c r="AW146" s="383"/>
      <c r="AX146" s="383"/>
    </row>
    <row r="147" spans="1:50" s="380" customFormat="1" ht="38.25" hidden="1" outlineLevel="1">
      <c r="A147" s="380" t="s">
        <v>1116</v>
      </c>
      <c r="B147" s="380" t="s">
        <v>1117</v>
      </c>
      <c r="C147" s="381" t="s">
        <v>1118</v>
      </c>
      <c r="D147" s="382">
        <v>0</v>
      </c>
      <c r="E147" s="380">
        <v>0</v>
      </c>
      <c r="F147" s="380">
        <v>104069.61</v>
      </c>
      <c r="G147" s="383"/>
      <c r="H147" s="383"/>
      <c r="I147" s="383"/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  <c r="AO147" s="383"/>
      <c r="AP147" s="383"/>
      <c r="AQ147" s="383"/>
      <c r="AR147" s="383"/>
      <c r="AS147" s="383"/>
      <c r="AT147" s="383"/>
      <c r="AU147" s="383"/>
      <c r="AV147" s="383"/>
      <c r="AW147" s="383"/>
      <c r="AX147" s="383"/>
    </row>
    <row r="148" spans="1:50" s="380" customFormat="1" ht="38.25" hidden="1" outlineLevel="1">
      <c r="A148" s="380" t="s">
        <v>1119</v>
      </c>
      <c r="B148" s="380" t="s">
        <v>1120</v>
      </c>
      <c r="C148" s="381" t="s">
        <v>1121</v>
      </c>
      <c r="D148" s="382">
        <v>115727.3</v>
      </c>
      <c r="E148" s="380">
        <v>0</v>
      </c>
      <c r="F148" s="380">
        <v>0</v>
      </c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  <c r="AO148" s="383"/>
      <c r="AP148" s="383"/>
      <c r="AQ148" s="383"/>
      <c r="AR148" s="383"/>
      <c r="AS148" s="383"/>
      <c r="AT148" s="383"/>
      <c r="AU148" s="383"/>
      <c r="AV148" s="383"/>
      <c r="AW148" s="383"/>
      <c r="AX148" s="383"/>
    </row>
    <row r="149" spans="1:50" s="380" customFormat="1" ht="38.25" hidden="1" outlineLevel="1">
      <c r="A149" s="380" t="s">
        <v>1131</v>
      </c>
      <c r="B149" s="380" t="s">
        <v>1132</v>
      </c>
      <c r="C149" s="381" t="s">
        <v>1133</v>
      </c>
      <c r="D149" s="382">
        <v>22448.33</v>
      </c>
      <c r="E149" s="380">
        <v>0</v>
      </c>
      <c r="F149" s="380">
        <v>0</v>
      </c>
      <c r="G149" s="383"/>
      <c r="H149" s="383"/>
      <c r="I149" s="383"/>
      <c r="J149" s="383"/>
      <c r="K149" s="383"/>
      <c r="L149" s="383"/>
      <c r="M149" s="383"/>
      <c r="N149" s="383"/>
      <c r="O149" s="383"/>
      <c r="P149" s="383"/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3"/>
      <c r="AT149" s="383"/>
      <c r="AU149" s="383"/>
      <c r="AV149" s="383"/>
      <c r="AW149" s="383"/>
      <c r="AX149" s="383"/>
    </row>
    <row r="150" spans="1:50" s="380" customFormat="1" ht="38.25" hidden="1" outlineLevel="1">
      <c r="A150" s="380" t="s">
        <v>1051</v>
      </c>
      <c r="B150" s="380" t="s">
        <v>1052</v>
      </c>
      <c r="C150" s="381" t="s">
        <v>1053</v>
      </c>
      <c r="D150" s="382">
        <v>201900</v>
      </c>
      <c r="E150" s="380">
        <v>0</v>
      </c>
      <c r="F150" s="380">
        <v>6299.88</v>
      </c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3"/>
      <c r="AU150" s="383"/>
      <c r="AV150" s="383"/>
      <c r="AW150" s="383"/>
      <c r="AX150" s="383"/>
    </row>
    <row r="151" spans="1:50" ht="12.75" customHeight="1" collapsed="1">
      <c r="A151" s="393" t="s">
        <v>1930</v>
      </c>
      <c r="B151" s="409" t="s">
        <v>1931</v>
      </c>
      <c r="C151" s="410"/>
      <c r="D151" s="412">
        <v>372534.832</v>
      </c>
      <c r="E151" s="412">
        <v>364333.99</v>
      </c>
      <c r="F151" s="412">
        <v>113556.48</v>
      </c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  <c r="AN151" s="393"/>
      <c r="AO151" s="393"/>
      <c r="AP151" s="393"/>
      <c r="AQ151" s="393"/>
      <c r="AR151" s="393"/>
      <c r="AS151" s="393"/>
      <c r="AT151" s="393"/>
      <c r="AU151" s="393"/>
      <c r="AV151" s="393"/>
      <c r="AW151" s="393"/>
      <c r="AX151" s="393"/>
    </row>
    <row r="152" spans="2:50" s="417" customFormat="1" ht="12.75" customHeight="1">
      <c r="B152" s="406" t="s">
        <v>2910</v>
      </c>
      <c r="C152" s="407"/>
      <c r="D152" s="414">
        <f>D44+D51+D54+D63+D96+D104+D151</f>
        <v>6097478.293</v>
      </c>
      <c r="E152" s="414">
        <f>E44+E51+E54+E63+E96+E104+E151</f>
        <v>801547.78</v>
      </c>
      <c r="F152" s="414">
        <f>F44+F51+F54+F63+F96+F104+F151</f>
        <v>241749.19</v>
      </c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P152" s="393"/>
      <c r="AQ152" s="393"/>
      <c r="AR152" s="393"/>
      <c r="AS152" s="393"/>
      <c r="AT152" s="393"/>
      <c r="AU152" s="393"/>
      <c r="AV152" s="393"/>
      <c r="AW152" s="393"/>
      <c r="AX152" s="393"/>
    </row>
    <row r="153" spans="2:50" ht="12.75" customHeight="1">
      <c r="B153" s="415"/>
      <c r="C153" s="416"/>
      <c r="D153" s="412"/>
      <c r="E153" s="412"/>
      <c r="F153" s="412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  <c r="AH153" s="393"/>
      <c r="AI153" s="393"/>
      <c r="AJ153" s="393"/>
      <c r="AK153" s="393"/>
      <c r="AL153" s="393"/>
      <c r="AM153" s="393"/>
      <c r="AN153" s="393"/>
      <c r="AO153" s="393"/>
      <c r="AP153" s="393"/>
      <c r="AQ153" s="393"/>
      <c r="AR153" s="393"/>
      <c r="AS153" s="393"/>
      <c r="AT153" s="393"/>
      <c r="AU153" s="393"/>
      <c r="AV153" s="393"/>
      <c r="AW153" s="393"/>
      <c r="AX153" s="393"/>
    </row>
    <row r="154" spans="2:50" s="417" customFormat="1" ht="12.75" customHeight="1">
      <c r="B154" s="415" t="s">
        <v>2892</v>
      </c>
      <c r="C154" s="416"/>
      <c r="D154" s="414">
        <f>D35-D152</f>
        <v>1594467.5870000003</v>
      </c>
      <c r="E154" s="414">
        <f>E35-E152</f>
        <v>-329195.48</v>
      </c>
      <c r="F154" s="414">
        <f>F35-F152</f>
        <v>87416.63</v>
      </c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  <c r="AJ154" s="393"/>
      <c r="AK154" s="393"/>
      <c r="AL154" s="393"/>
      <c r="AM154" s="393"/>
      <c r="AN154" s="393"/>
      <c r="AO154" s="393"/>
      <c r="AP154" s="393"/>
      <c r="AQ154" s="393"/>
      <c r="AR154" s="393"/>
      <c r="AS154" s="393"/>
      <c r="AT154" s="393"/>
      <c r="AU154" s="393"/>
      <c r="AV154" s="393"/>
      <c r="AW154" s="393"/>
      <c r="AX154" s="393"/>
    </row>
    <row r="155" spans="2:50" ht="12.75" customHeight="1">
      <c r="B155" s="409"/>
      <c r="C155" s="410"/>
      <c r="D155" s="412"/>
      <c r="E155" s="412"/>
      <c r="F155" s="412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93"/>
      <c r="AM155" s="393"/>
      <c r="AN155" s="393"/>
      <c r="AO155" s="393"/>
      <c r="AP155" s="393"/>
      <c r="AQ155" s="393"/>
      <c r="AR155" s="393"/>
      <c r="AS155" s="393"/>
      <c r="AT155" s="393"/>
      <c r="AU155" s="393"/>
      <c r="AV155" s="393"/>
      <c r="AW155" s="393"/>
      <c r="AX155" s="393"/>
    </row>
    <row r="156" spans="2:50" ht="12.75" customHeight="1">
      <c r="B156" s="415" t="s">
        <v>1932</v>
      </c>
      <c r="C156" s="416"/>
      <c r="D156" s="412"/>
      <c r="E156" s="412"/>
      <c r="F156" s="412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  <c r="AW156" s="393"/>
      <c r="AX156" s="393"/>
    </row>
    <row r="157" spans="1:50" s="380" customFormat="1" ht="38.25" hidden="1" outlineLevel="1">
      <c r="A157" s="380" t="s">
        <v>1179</v>
      </c>
      <c r="B157" s="380" t="s">
        <v>1180</v>
      </c>
      <c r="C157" s="381" t="s">
        <v>1181</v>
      </c>
      <c r="D157" s="382">
        <v>50730.04</v>
      </c>
      <c r="E157" s="380">
        <v>0</v>
      </c>
      <c r="F157" s="380">
        <v>8023.94</v>
      </c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</row>
    <row r="158" spans="1:50" ht="12.75" customHeight="1" collapsed="1">
      <c r="A158" s="393" t="s">
        <v>1191</v>
      </c>
      <c r="B158" s="409" t="s">
        <v>1933</v>
      </c>
      <c r="C158" s="410"/>
      <c r="D158" s="412">
        <v>50730.04</v>
      </c>
      <c r="E158" s="412">
        <v>0</v>
      </c>
      <c r="F158" s="412">
        <v>8023.94</v>
      </c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  <c r="AW158" s="393"/>
      <c r="AX158" s="393"/>
    </row>
    <row r="159" spans="1:50" ht="12.75" customHeight="1">
      <c r="A159" s="393" t="s">
        <v>1934</v>
      </c>
      <c r="B159" s="409" t="s">
        <v>1935</v>
      </c>
      <c r="C159" s="410"/>
      <c r="D159" s="412">
        <v>0</v>
      </c>
      <c r="E159" s="412">
        <v>0</v>
      </c>
      <c r="F159" s="412">
        <v>0</v>
      </c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  <c r="AM159" s="393"/>
      <c r="AN159" s="393"/>
      <c r="AO159" s="393"/>
      <c r="AP159" s="393"/>
      <c r="AQ159" s="393"/>
      <c r="AR159" s="393"/>
      <c r="AS159" s="393"/>
      <c r="AT159" s="393"/>
      <c r="AU159" s="393"/>
      <c r="AV159" s="393"/>
      <c r="AW159" s="393"/>
      <c r="AX159" s="393"/>
    </row>
    <row r="160" spans="1:50" ht="12.75" customHeight="1">
      <c r="A160" s="393" t="s">
        <v>1936</v>
      </c>
      <c r="B160" s="409" t="s">
        <v>1937</v>
      </c>
      <c r="C160" s="410"/>
      <c r="D160" s="412">
        <v>0</v>
      </c>
      <c r="E160" s="412">
        <v>0</v>
      </c>
      <c r="F160" s="412">
        <v>0</v>
      </c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93"/>
      <c r="AN160" s="393"/>
      <c r="AO160" s="393"/>
      <c r="AP160" s="393"/>
      <c r="AQ160" s="393"/>
      <c r="AR160" s="393"/>
      <c r="AS160" s="393"/>
      <c r="AT160" s="393"/>
      <c r="AU160" s="393"/>
      <c r="AV160" s="393"/>
      <c r="AW160" s="393"/>
      <c r="AX160" s="393"/>
    </row>
    <row r="161" spans="1:50" ht="12.75" customHeight="1">
      <c r="A161" s="393" t="s">
        <v>1938</v>
      </c>
      <c r="B161" s="409" t="s">
        <v>1939</v>
      </c>
      <c r="C161" s="410"/>
      <c r="D161" s="412">
        <v>0</v>
      </c>
      <c r="E161" s="412">
        <v>0</v>
      </c>
      <c r="F161" s="412">
        <v>0</v>
      </c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  <c r="AN161" s="393"/>
      <c r="AO161" s="393"/>
      <c r="AP161" s="393"/>
      <c r="AQ161" s="393"/>
      <c r="AR161" s="393"/>
      <c r="AS161" s="393"/>
      <c r="AT161" s="393"/>
      <c r="AU161" s="393"/>
      <c r="AV161" s="393"/>
      <c r="AW161" s="393"/>
      <c r="AX161" s="393"/>
    </row>
    <row r="162" spans="1:50" s="380" customFormat="1" ht="38.25" hidden="1" outlineLevel="1">
      <c r="A162" s="380" t="s">
        <v>1241</v>
      </c>
      <c r="B162" s="380" t="s">
        <v>1242</v>
      </c>
      <c r="C162" s="381" t="s">
        <v>1243</v>
      </c>
      <c r="D162" s="382">
        <v>6988</v>
      </c>
      <c r="E162" s="380">
        <v>0</v>
      </c>
      <c r="F162" s="380">
        <v>0</v>
      </c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3"/>
      <c r="AT162" s="383"/>
      <c r="AU162" s="383"/>
      <c r="AV162" s="383"/>
      <c r="AW162" s="383"/>
      <c r="AX162" s="383"/>
    </row>
    <row r="163" spans="1:50" s="380" customFormat="1" ht="38.25" hidden="1" outlineLevel="1">
      <c r="A163" s="380" t="s">
        <v>1244</v>
      </c>
      <c r="B163" s="380" t="s">
        <v>1245</v>
      </c>
      <c r="C163" s="381" t="s">
        <v>1246</v>
      </c>
      <c r="D163" s="382">
        <v>0</v>
      </c>
      <c r="E163" s="380">
        <v>7423.96</v>
      </c>
      <c r="F163" s="380">
        <v>0</v>
      </c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3"/>
      <c r="AJ163" s="383"/>
      <c r="AK163" s="383"/>
      <c r="AL163" s="383"/>
      <c r="AM163" s="383"/>
      <c r="AN163" s="383"/>
      <c r="AO163" s="383"/>
      <c r="AP163" s="383"/>
      <c r="AQ163" s="383"/>
      <c r="AR163" s="383"/>
      <c r="AS163" s="383"/>
      <c r="AT163" s="383"/>
      <c r="AU163" s="383"/>
      <c r="AV163" s="383"/>
      <c r="AW163" s="383"/>
      <c r="AX163" s="383"/>
    </row>
    <row r="164" spans="1:50" s="380" customFormat="1" ht="38.25" hidden="1" outlineLevel="1">
      <c r="A164" s="380" t="s">
        <v>2166</v>
      </c>
      <c r="B164" s="380" t="s">
        <v>2167</v>
      </c>
      <c r="C164" s="381" t="s">
        <v>2168</v>
      </c>
      <c r="D164" s="382">
        <v>-6504.66</v>
      </c>
      <c r="E164" s="380">
        <v>303438</v>
      </c>
      <c r="F164" s="380">
        <v>0</v>
      </c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3"/>
      <c r="AW164" s="383"/>
      <c r="AX164" s="383"/>
    </row>
    <row r="165" spans="1:50" s="380" customFormat="1" ht="38.25" hidden="1" outlineLevel="1">
      <c r="A165" s="380" t="s">
        <v>1234</v>
      </c>
      <c r="B165" s="380" t="s">
        <v>1235</v>
      </c>
      <c r="C165" s="381" t="s">
        <v>1236</v>
      </c>
      <c r="D165" s="382">
        <v>-1282020</v>
      </c>
      <c r="E165" s="380">
        <v>0</v>
      </c>
      <c r="F165" s="380">
        <v>0</v>
      </c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3"/>
      <c r="AJ165" s="383"/>
      <c r="AK165" s="383"/>
      <c r="AL165" s="383"/>
      <c r="AM165" s="383"/>
      <c r="AN165" s="383"/>
      <c r="AO165" s="383"/>
      <c r="AP165" s="383"/>
      <c r="AQ165" s="383"/>
      <c r="AR165" s="383"/>
      <c r="AS165" s="383"/>
      <c r="AT165" s="383"/>
      <c r="AU165" s="383"/>
      <c r="AV165" s="383"/>
      <c r="AW165" s="383"/>
      <c r="AX165" s="383"/>
    </row>
    <row r="166" spans="1:50" s="380" customFormat="1" ht="38.25" hidden="1" outlineLevel="1">
      <c r="A166" s="380" t="s">
        <v>2156</v>
      </c>
      <c r="B166" s="380" t="s">
        <v>2157</v>
      </c>
      <c r="C166" s="381" t="s">
        <v>2158</v>
      </c>
      <c r="D166" s="382">
        <v>0</v>
      </c>
      <c r="E166" s="380">
        <v>-4786.68</v>
      </c>
      <c r="F166" s="380">
        <v>0</v>
      </c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3"/>
      <c r="AO166" s="383"/>
      <c r="AP166" s="383"/>
      <c r="AQ166" s="383"/>
      <c r="AR166" s="383"/>
      <c r="AS166" s="383"/>
      <c r="AT166" s="383"/>
      <c r="AU166" s="383"/>
      <c r="AV166" s="383"/>
      <c r="AW166" s="383"/>
      <c r="AX166" s="383"/>
    </row>
    <row r="167" spans="1:50" s="380" customFormat="1" ht="38.25" hidden="1" outlineLevel="1">
      <c r="A167" s="380" t="s">
        <v>2159</v>
      </c>
      <c r="B167" s="380" t="s">
        <v>2160</v>
      </c>
      <c r="C167" s="381" t="s">
        <v>2161</v>
      </c>
      <c r="D167" s="382">
        <v>-900000</v>
      </c>
      <c r="E167" s="380">
        <v>0</v>
      </c>
      <c r="F167" s="380">
        <v>0</v>
      </c>
      <c r="G167" s="383"/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  <c r="V167" s="383"/>
      <c r="W167" s="383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  <c r="AH167" s="383"/>
      <c r="AI167" s="383"/>
      <c r="AJ167" s="383"/>
      <c r="AK167" s="383"/>
      <c r="AL167" s="383"/>
      <c r="AM167" s="383"/>
      <c r="AN167" s="383"/>
      <c r="AO167" s="383"/>
      <c r="AP167" s="383"/>
      <c r="AQ167" s="383"/>
      <c r="AR167" s="383"/>
      <c r="AS167" s="383"/>
      <c r="AT167" s="383"/>
      <c r="AU167" s="383"/>
      <c r="AV167" s="383"/>
      <c r="AW167" s="383"/>
      <c r="AX167" s="383"/>
    </row>
    <row r="168" spans="1:50" ht="12.75" customHeight="1" collapsed="1">
      <c r="A168" s="393" t="s">
        <v>1940</v>
      </c>
      <c r="B168" s="409" t="s">
        <v>1941</v>
      </c>
      <c r="C168" s="410"/>
      <c r="D168" s="412">
        <v>-2181536.66</v>
      </c>
      <c r="E168" s="412">
        <v>306075.28</v>
      </c>
      <c r="F168" s="412">
        <v>0</v>
      </c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F168" s="393"/>
      <c r="AG168" s="393"/>
      <c r="AH168" s="393"/>
      <c r="AI168" s="393"/>
      <c r="AJ168" s="393"/>
      <c r="AK168" s="393"/>
      <c r="AL168" s="393"/>
      <c r="AM168" s="393"/>
      <c r="AN168" s="393"/>
      <c r="AO168" s="393"/>
      <c r="AP168" s="393"/>
      <c r="AQ168" s="393"/>
      <c r="AR168" s="393"/>
      <c r="AS168" s="393"/>
      <c r="AT168" s="393"/>
      <c r="AU168" s="393"/>
      <c r="AV168" s="393"/>
      <c r="AW168" s="393"/>
      <c r="AX168" s="393"/>
    </row>
    <row r="169" spans="2:50" ht="12.75" customHeight="1">
      <c r="B169" s="406" t="s">
        <v>1942</v>
      </c>
      <c r="C169" s="410"/>
      <c r="D169" s="412"/>
      <c r="E169" s="412"/>
      <c r="F169" s="412"/>
      <c r="G169" s="393"/>
      <c r="H169" s="393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  <c r="AA169" s="393"/>
      <c r="AB169" s="393"/>
      <c r="AC169" s="393"/>
      <c r="AD169" s="393"/>
      <c r="AE169" s="393"/>
      <c r="AF169" s="393"/>
      <c r="AG169" s="393"/>
      <c r="AH169" s="393"/>
      <c r="AI169" s="393"/>
      <c r="AJ169" s="393"/>
      <c r="AK169" s="393"/>
      <c r="AL169" s="393"/>
      <c r="AM169" s="393"/>
      <c r="AN169" s="393"/>
      <c r="AO169" s="393"/>
      <c r="AP169" s="393"/>
      <c r="AQ169" s="393"/>
      <c r="AR169" s="393"/>
      <c r="AS169" s="393"/>
      <c r="AT169" s="393"/>
      <c r="AU169" s="393"/>
      <c r="AV169" s="393"/>
      <c r="AW169" s="393"/>
      <c r="AX169" s="393"/>
    </row>
    <row r="170" spans="2:50" s="417" customFormat="1" ht="12.75" customHeight="1">
      <c r="B170" s="406" t="s">
        <v>1943</v>
      </c>
      <c r="C170" s="407"/>
      <c r="D170" s="414">
        <f>D158+D159+D160+D161+D168</f>
        <v>-2130806.62</v>
      </c>
      <c r="E170" s="414">
        <f>E158+E159+E160+E161+E168</f>
        <v>306075.28</v>
      </c>
      <c r="F170" s="414">
        <f>F158+F159+F160+F161+F168</f>
        <v>8023.94</v>
      </c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393"/>
      <c r="AK170" s="393"/>
      <c r="AL170" s="393"/>
      <c r="AM170" s="393"/>
      <c r="AN170" s="393"/>
      <c r="AO170" s="393"/>
      <c r="AP170" s="393"/>
      <c r="AQ170" s="393"/>
      <c r="AR170" s="393"/>
      <c r="AS170" s="393"/>
      <c r="AT170" s="393"/>
      <c r="AU170" s="393"/>
      <c r="AV170" s="393"/>
      <c r="AW170" s="393"/>
      <c r="AX170" s="393"/>
    </row>
    <row r="171" spans="2:50" ht="12.75" customHeight="1">
      <c r="B171" s="409"/>
      <c r="C171" s="410"/>
      <c r="D171" s="412"/>
      <c r="E171" s="412"/>
      <c r="F171" s="412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  <c r="AA171" s="393"/>
      <c r="AB171" s="393"/>
      <c r="AC171" s="393"/>
      <c r="AD171" s="393"/>
      <c r="AE171" s="393"/>
      <c r="AF171" s="393"/>
      <c r="AG171" s="393"/>
      <c r="AH171" s="393"/>
      <c r="AI171" s="393"/>
      <c r="AJ171" s="393"/>
      <c r="AK171" s="393"/>
      <c r="AL171" s="393"/>
      <c r="AM171" s="393"/>
      <c r="AN171" s="393"/>
      <c r="AO171" s="393"/>
      <c r="AP171" s="393"/>
      <c r="AQ171" s="393"/>
      <c r="AR171" s="393"/>
      <c r="AS171" s="393"/>
      <c r="AT171" s="393"/>
      <c r="AU171" s="393"/>
      <c r="AV171" s="393"/>
      <c r="AW171" s="393"/>
      <c r="AX171" s="393"/>
    </row>
    <row r="172" spans="2:50" s="417" customFormat="1" ht="12.75" customHeight="1">
      <c r="B172" s="415" t="s">
        <v>1944</v>
      </c>
      <c r="C172" s="416"/>
      <c r="D172" s="414">
        <f>D154+D170</f>
        <v>-536339.0329999998</v>
      </c>
      <c r="E172" s="414">
        <f>E154+E170</f>
        <v>-23120.199999999953</v>
      </c>
      <c r="F172" s="414">
        <f>F154+F170</f>
        <v>95440.57</v>
      </c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F172" s="393"/>
      <c r="AG172" s="393"/>
      <c r="AH172" s="393"/>
      <c r="AI172" s="393"/>
      <c r="AJ172" s="393"/>
      <c r="AK172" s="393"/>
      <c r="AL172" s="393"/>
      <c r="AM172" s="393"/>
      <c r="AN172" s="393"/>
      <c r="AO172" s="393"/>
      <c r="AP172" s="393"/>
      <c r="AQ172" s="393"/>
      <c r="AR172" s="393"/>
      <c r="AS172" s="393"/>
      <c r="AT172" s="393"/>
      <c r="AU172" s="393"/>
      <c r="AV172" s="393"/>
      <c r="AW172" s="393"/>
      <c r="AX172" s="393"/>
    </row>
    <row r="173" spans="2:50" ht="12.75" customHeight="1">
      <c r="B173" s="409"/>
      <c r="C173" s="410"/>
      <c r="D173" s="412"/>
      <c r="E173" s="412"/>
      <c r="F173" s="412"/>
      <c r="G173" s="393"/>
      <c r="H173" s="393"/>
      <c r="I173" s="393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F173" s="393"/>
      <c r="AG173" s="393"/>
      <c r="AH173" s="393"/>
      <c r="AI173" s="393"/>
      <c r="AJ173" s="393"/>
      <c r="AK173" s="393"/>
      <c r="AL173" s="393"/>
      <c r="AM173" s="393"/>
      <c r="AN173" s="393"/>
      <c r="AO173" s="393"/>
      <c r="AP173" s="393"/>
      <c r="AQ173" s="393"/>
      <c r="AR173" s="393"/>
      <c r="AS173" s="393"/>
      <c r="AT173" s="393"/>
      <c r="AU173" s="393"/>
      <c r="AV173" s="393"/>
      <c r="AW173" s="393"/>
      <c r="AX173" s="393"/>
    </row>
    <row r="174" spans="1:50" s="380" customFormat="1" ht="38.25" hidden="1" outlineLevel="1">
      <c r="A174" s="380" t="s">
        <v>2195</v>
      </c>
      <c r="B174" s="380" t="s">
        <v>2196</v>
      </c>
      <c r="C174" s="381" t="s">
        <v>2197</v>
      </c>
      <c r="D174" s="382">
        <v>690424.763</v>
      </c>
      <c r="E174" s="380">
        <v>29865.55</v>
      </c>
      <c r="F174" s="380">
        <v>133956.1</v>
      </c>
      <c r="G174" s="38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3"/>
      <c r="AA174" s="383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3"/>
      <c r="AO174" s="383"/>
      <c r="AP174" s="383"/>
      <c r="AQ174" s="383"/>
      <c r="AR174" s="383"/>
      <c r="AS174" s="383"/>
      <c r="AT174" s="383"/>
      <c r="AU174" s="383"/>
      <c r="AV174" s="383"/>
      <c r="AW174" s="383"/>
      <c r="AX174" s="383"/>
    </row>
    <row r="175" spans="1:7" s="383" customFormat="1" ht="12.75" customHeight="1" collapsed="1">
      <c r="A175" s="418" t="s">
        <v>2198</v>
      </c>
      <c r="B175" s="23" t="s">
        <v>2854</v>
      </c>
      <c r="C175" s="74"/>
      <c r="D175" s="39">
        <v>690424.763</v>
      </c>
      <c r="E175" s="39">
        <v>29865.55</v>
      </c>
      <c r="F175" s="39">
        <v>133956.1</v>
      </c>
      <c r="G175" s="419"/>
    </row>
    <row r="176" spans="1:7" ht="12.75" customHeight="1">
      <c r="A176" s="418"/>
      <c r="B176" s="23"/>
      <c r="C176" s="74"/>
      <c r="D176" s="39"/>
      <c r="E176" s="39"/>
      <c r="F176" s="39"/>
      <c r="G176" s="419"/>
    </row>
    <row r="177" spans="1:7" ht="12.75" customHeight="1">
      <c r="A177" s="418"/>
      <c r="B177" s="23" t="s">
        <v>2855</v>
      </c>
      <c r="C177" s="74"/>
      <c r="D177" s="420">
        <f>D172+D175</f>
        <v>154085.7300000002</v>
      </c>
      <c r="E177" s="420">
        <f>E172+E175</f>
        <v>6745.350000000046</v>
      </c>
      <c r="F177" s="420">
        <f>F172+F175</f>
        <v>229396.67</v>
      </c>
      <c r="G177" s="419"/>
    </row>
    <row r="178" spans="1:7" ht="12.75">
      <c r="A178" s="383"/>
      <c r="B178" s="383"/>
      <c r="C178" s="421"/>
      <c r="E178" s="422"/>
      <c r="F178" s="422"/>
      <c r="G178" s="423"/>
    </row>
    <row r="179" spans="1:4" ht="12.75">
      <c r="A179" s="383"/>
      <c r="B179" s="383"/>
      <c r="C179" s="421"/>
      <c r="D179" s="393"/>
    </row>
    <row r="180" spans="1:4" ht="12.75">
      <c r="A180" s="383"/>
      <c r="B180" s="383"/>
      <c r="C180" s="421"/>
      <c r="D180" s="393"/>
    </row>
    <row r="181" spans="1:4" ht="12.75">
      <c r="A181" s="383"/>
      <c r="B181" s="383"/>
      <c r="C181" s="421"/>
      <c r="D181" s="393"/>
    </row>
    <row r="182" spans="1:4" ht="12.75">
      <c r="A182" s="383"/>
      <c r="B182" s="383"/>
      <c r="C182" s="421"/>
      <c r="D182" s="393"/>
    </row>
    <row r="183" spans="1:4" ht="12.75">
      <c r="A183" s="383"/>
      <c r="B183" s="383"/>
      <c r="C183" s="421"/>
      <c r="D183" s="393"/>
    </row>
    <row r="184" spans="1:4" ht="12.75">
      <c r="A184" s="383"/>
      <c r="B184" s="383"/>
      <c r="C184" s="421"/>
      <c r="D184" s="393"/>
    </row>
    <row r="185" spans="1:4" ht="12.75">
      <c r="A185" s="383"/>
      <c r="B185" s="383"/>
      <c r="C185" s="421"/>
      <c r="D185" s="393"/>
    </row>
    <row r="186" spans="1:4" ht="12.75">
      <c r="A186" s="383"/>
      <c r="B186" s="383"/>
      <c r="C186" s="421"/>
      <c r="D186" s="393"/>
    </row>
    <row r="187" spans="1:4" ht="12.75">
      <c r="A187" s="383"/>
      <c r="B187" s="383"/>
      <c r="C187" s="421"/>
      <c r="D187" s="393"/>
    </row>
    <row r="188" spans="1:4" ht="12.75">
      <c r="A188" s="383"/>
      <c r="B188" s="383"/>
      <c r="C188" s="421"/>
      <c r="D188" s="393"/>
    </row>
    <row r="189" spans="1:4" ht="12.75">
      <c r="A189" s="383"/>
      <c r="B189" s="383"/>
      <c r="C189" s="421"/>
      <c r="D189" s="393"/>
    </row>
    <row r="190" spans="1:4" ht="12.75">
      <c r="A190" s="383"/>
      <c r="B190" s="383"/>
      <c r="C190" s="421"/>
      <c r="D190" s="393"/>
    </row>
    <row r="191" spans="1:4" ht="12.75">
      <c r="A191" s="383"/>
      <c r="B191" s="383"/>
      <c r="C191" s="421"/>
      <c r="D191" s="393"/>
    </row>
    <row r="192" spans="1:4" ht="12.75">
      <c r="A192" s="383"/>
      <c r="B192" s="383"/>
      <c r="C192" s="421"/>
      <c r="D192" s="393"/>
    </row>
    <row r="193" spans="3:6" s="383" customFormat="1" ht="12.75">
      <c r="C193" s="421"/>
      <c r="D193" s="393"/>
      <c r="E193" s="393"/>
      <c r="F193" s="393"/>
    </row>
    <row r="194" spans="3:6" s="383" customFormat="1" ht="12.75">
      <c r="C194" s="421"/>
      <c r="D194" s="393"/>
      <c r="E194" s="393"/>
      <c r="F194" s="393"/>
    </row>
    <row r="195" spans="3:6" s="383" customFormat="1" ht="12.75">
      <c r="C195" s="421"/>
      <c r="D195" s="393"/>
      <c r="E195" s="393"/>
      <c r="F195" s="393"/>
    </row>
    <row r="196" spans="3:6" s="383" customFormat="1" ht="12.75">
      <c r="C196" s="421"/>
      <c r="D196" s="393"/>
      <c r="E196" s="393"/>
      <c r="F196" s="393"/>
    </row>
    <row r="197" spans="3:6" s="383" customFormat="1" ht="12.75">
      <c r="C197" s="421"/>
      <c r="D197" s="393"/>
      <c r="E197" s="393"/>
      <c r="F197" s="393"/>
    </row>
    <row r="198" spans="3:6" s="383" customFormat="1" ht="12.75">
      <c r="C198" s="421"/>
      <c r="D198" s="393"/>
      <c r="E198" s="393"/>
      <c r="F198" s="393"/>
    </row>
    <row r="199" spans="3:6" s="383" customFormat="1" ht="12.75">
      <c r="C199" s="421"/>
      <c r="D199" s="393"/>
      <c r="E199" s="393"/>
      <c r="F199" s="393"/>
    </row>
    <row r="200" spans="3:6" s="383" customFormat="1" ht="12.75">
      <c r="C200" s="421"/>
      <c r="D200" s="393"/>
      <c r="E200" s="393"/>
      <c r="F200" s="393"/>
    </row>
    <row r="201" spans="3:6" s="383" customFormat="1" ht="12.75">
      <c r="C201" s="421"/>
      <c r="D201" s="393"/>
      <c r="E201" s="393"/>
      <c r="F201" s="393"/>
    </row>
    <row r="202" spans="3:6" s="383" customFormat="1" ht="12.75">
      <c r="C202" s="421"/>
      <c r="D202" s="393"/>
      <c r="E202" s="393"/>
      <c r="F202" s="393"/>
    </row>
    <row r="203" spans="3:6" s="383" customFormat="1" ht="12.75">
      <c r="C203" s="421"/>
      <c r="D203" s="393"/>
      <c r="E203" s="393"/>
      <c r="F203" s="393"/>
    </row>
    <row r="204" spans="3:6" s="383" customFormat="1" ht="12.75">
      <c r="C204" s="421"/>
      <c r="D204" s="393"/>
      <c r="E204" s="393"/>
      <c r="F204" s="393"/>
    </row>
    <row r="205" spans="3:6" s="383" customFormat="1" ht="12.75">
      <c r="C205" s="421"/>
      <c r="D205" s="393"/>
      <c r="E205" s="393"/>
      <c r="F205" s="393"/>
    </row>
    <row r="206" spans="3:6" s="383" customFormat="1" ht="12.75">
      <c r="C206" s="421"/>
      <c r="D206" s="393"/>
      <c r="E206" s="393"/>
      <c r="F206" s="393"/>
    </row>
    <row r="207" spans="3:6" s="383" customFormat="1" ht="12.75">
      <c r="C207" s="421"/>
      <c r="D207" s="393"/>
      <c r="E207" s="393"/>
      <c r="F207" s="393"/>
    </row>
    <row r="208" spans="3:6" s="383" customFormat="1" ht="12.75">
      <c r="C208" s="421"/>
      <c r="D208" s="393"/>
      <c r="E208" s="393"/>
      <c r="F208" s="393"/>
    </row>
    <row r="209" spans="3:6" s="383" customFormat="1" ht="12.75">
      <c r="C209" s="421"/>
      <c r="D209" s="393"/>
      <c r="E209" s="393"/>
      <c r="F209" s="393"/>
    </row>
    <row r="210" spans="3:6" s="383" customFormat="1" ht="12.75">
      <c r="C210" s="421"/>
      <c r="D210" s="393"/>
      <c r="E210" s="393"/>
      <c r="F210" s="393"/>
    </row>
    <row r="211" spans="3:6" s="383" customFormat="1" ht="12.75">
      <c r="C211" s="421"/>
      <c r="D211" s="393"/>
      <c r="E211" s="393"/>
      <c r="F211" s="393"/>
    </row>
    <row r="212" spans="3:6" s="383" customFormat="1" ht="12.75">
      <c r="C212" s="421"/>
      <c r="D212" s="393"/>
      <c r="E212" s="393"/>
      <c r="F212" s="393"/>
    </row>
    <row r="213" spans="3:6" s="383" customFormat="1" ht="12.75">
      <c r="C213" s="421"/>
      <c r="D213" s="393"/>
      <c r="E213" s="393"/>
      <c r="F213" s="393"/>
    </row>
    <row r="214" spans="3:6" s="383" customFormat="1" ht="12.75">
      <c r="C214" s="421"/>
      <c r="D214" s="393"/>
      <c r="E214" s="393"/>
      <c r="F214" s="393"/>
    </row>
    <row r="215" spans="3:6" s="383" customFormat="1" ht="12.75">
      <c r="C215" s="421"/>
      <c r="D215" s="393"/>
      <c r="E215" s="393"/>
      <c r="F215" s="393"/>
    </row>
    <row r="216" spans="3:6" s="383" customFormat="1" ht="12.75">
      <c r="C216" s="421"/>
      <c r="D216" s="393"/>
      <c r="E216" s="393"/>
      <c r="F216" s="393"/>
    </row>
    <row r="217" spans="3:6" s="383" customFormat="1" ht="12.75">
      <c r="C217" s="421"/>
      <c r="D217" s="393"/>
      <c r="E217" s="393"/>
      <c r="F217" s="393"/>
    </row>
    <row r="218" spans="3:6" s="383" customFormat="1" ht="12.75">
      <c r="C218" s="421"/>
      <c r="D218" s="393"/>
      <c r="E218" s="393"/>
      <c r="F218" s="393"/>
    </row>
    <row r="219" spans="3:6" s="383" customFormat="1" ht="12.75">
      <c r="C219" s="421"/>
      <c r="D219" s="393"/>
      <c r="E219" s="393"/>
      <c r="F219" s="393"/>
    </row>
    <row r="220" spans="3:6" s="383" customFormat="1" ht="12.75">
      <c r="C220" s="421"/>
      <c r="D220" s="393"/>
      <c r="E220" s="393"/>
      <c r="F220" s="393"/>
    </row>
    <row r="221" spans="3:6" s="383" customFormat="1" ht="12.75">
      <c r="C221" s="421"/>
      <c r="D221" s="393"/>
      <c r="E221" s="393"/>
      <c r="F221" s="393"/>
    </row>
    <row r="222" spans="3:6" s="383" customFormat="1" ht="12.75">
      <c r="C222" s="421"/>
      <c r="D222" s="393"/>
      <c r="E222" s="393"/>
      <c r="F222" s="393"/>
    </row>
    <row r="223" spans="3:6" s="383" customFormat="1" ht="12.75">
      <c r="C223" s="421"/>
      <c r="D223" s="393"/>
      <c r="E223" s="393"/>
      <c r="F223" s="393"/>
    </row>
    <row r="224" spans="3:6" s="383" customFormat="1" ht="12.75">
      <c r="C224" s="421"/>
      <c r="D224" s="393"/>
      <c r="E224" s="393"/>
      <c r="F224" s="393"/>
    </row>
    <row r="225" spans="3:6" s="383" customFormat="1" ht="12.75">
      <c r="C225" s="421"/>
      <c r="D225" s="393"/>
      <c r="E225" s="393"/>
      <c r="F225" s="393"/>
    </row>
    <row r="226" spans="3:6" s="383" customFormat="1" ht="12.75">
      <c r="C226" s="421"/>
      <c r="D226" s="393"/>
      <c r="E226" s="393"/>
      <c r="F226" s="393"/>
    </row>
    <row r="227" spans="3:6" s="383" customFormat="1" ht="12.75">
      <c r="C227" s="421"/>
      <c r="D227" s="393"/>
      <c r="E227" s="393"/>
      <c r="F227" s="393"/>
    </row>
    <row r="228" spans="3:6" s="383" customFormat="1" ht="12.75">
      <c r="C228" s="421"/>
      <c r="D228" s="393"/>
      <c r="E228" s="393"/>
      <c r="F228" s="393"/>
    </row>
    <row r="229" spans="3:6" s="383" customFormat="1" ht="12.75">
      <c r="C229" s="421"/>
      <c r="D229" s="393"/>
      <c r="E229" s="393"/>
      <c r="F229" s="393"/>
    </row>
    <row r="230" spans="3:6" s="383" customFormat="1" ht="12.75">
      <c r="C230" s="421"/>
      <c r="D230" s="393"/>
      <c r="E230" s="393"/>
      <c r="F230" s="393"/>
    </row>
    <row r="231" spans="3:6" s="383" customFormat="1" ht="12.75">
      <c r="C231" s="421"/>
      <c r="D231" s="393"/>
      <c r="E231" s="393"/>
      <c r="F231" s="393"/>
    </row>
    <row r="232" spans="3:6" s="383" customFormat="1" ht="12.75">
      <c r="C232" s="421"/>
      <c r="D232" s="393"/>
      <c r="E232" s="393"/>
      <c r="F232" s="393"/>
    </row>
    <row r="233" spans="3:6" s="383" customFormat="1" ht="12.75">
      <c r="C233" s="421"/>
      <c r="D233" s="393"/>
      <c r="E233" s="393"/>
      <c r="F233" s="393"/>
    </row>
    <row r="234" spans="3:6" s="383" customFormat="1" ht="12.75">
      <c r="C234" s="421"/>
      <c r="D234" s="393"/>
      <c r="E234" s="393"/>
      <c r="F234" s="393"/>
    </row>
    <row r="235" spans="3:6" s="383" customFormat="1" ht="12.75">
      <c r="C235" s="421"/>
      <c r="D235" s="393"/>
      <c r="E235" s="393"/>
      <c r="F235" s="393"/>
    </row>
    <row r="236" spans="3:6" s="383" customFormat="1" ht="12.75">
      <c r="C236" s="421"/>
      <c r="D236" s="393"/>
      <c r="E236" s="393"/>
      <c r="F236" s="393"/>
    </row>
    <row r="237" spans="3:6" s="383" customFormat="1" ht="12.75">
      <c r="C237" s="421"/>
      <c r="D237" s="393"/>
      <c r="E237" s="393"/>
      <c r="F237" s="393"/>
    </row>
    <row r="238" spans="3:6" s="383" customFormat="1" ht="12.75">
      <c r="C238" s="421"/>
      <c r="D238" s="393"/>
      <c r="E238" s="393"/>
      <c r="F238" s="393"/>
    </row>
    <row r="239" spans="3:6" s="383" customFormat="1" ht="12.75">
      <c r="C239" s="421"/>
      <c r="D239" s="393"/>
      <c r="E239" s="393"/>
      <c r="F239" s="393"/>
    </row>
    <row r="240" spans="3:6" s="383" customFormat="1" ht="12.75">
      <c r="C240" s="421"/>
      <c r="D240" s="393"/>
      <c r="E240" s="393"/>
      <c r="F240" s="393"/>
    </row>
    <row r="241" spans="3:6" s="383" customFormat="1" ht="12.75">
      <c r="C241" s="421"/>
      <c r="D241" s="393"/>
      <c r="E241" s="393"/>
      <c r="F241" s="393"/>
    </row>
    <row r="242" spans="3:6" s="383" customFormat="1" ht="12.75">
      <c r="C242" s="421"/>
      <c r="D242" s="393"/>
      <c r="E242" s="393"/>
      <c r="F242" s="393"/>
    </row>
    <row r="243" spans="3:6" s="383" customFormat="1" ht="12.75">
      <c r="C243" s="421"/>
      <c r="D243" s="393"/>
      <c r="E243" s="393"/>
      <c r="F243" s="393"/>
    </row>
    <row r="244" spans="3:6" s="383" customFormat="1" ht="12.75">
      <c r="C244" s="421"/>
      <c r="D244" s="393"/>
      <c r="E244" s="393"/>
      <c r="F244" s="393"/>
    </row>
    <row r="245" spans="3:6" s="383" customFormat="1" ht="12.75">
      <c r="C245" s="421"/>
      <c r="D245" s="393"/>
      <c r="E245" s="393"/>
      <c r="F245" s="393"/>
    </row>
    <row r="246" spans="3:6" s="383" customFormat="1" ht="12.75">
      <c r="C246" s="421"/>
      <c r="D246" s="393"/>
      <c r="E246" s="393"/>
      <c r="F246" s="393"/>
    </row>
    <row r="247" spans="3:6" s="383" customFormat="1" ht="12.75">
      <c r="C247" s="421"/>
      <c r="D247" s="393"/>
      <c r="E247" s="393"/>
      <c r="F247" s="393"/>
    </row>
    <row r="248" spans="3:6" s="383" customFormat="1" ht="12.75">
      <c r="C248" s="421"/>
      <c r="D248" s="393"/>
      <c r="E248" s="393"/>
      <c r="F248" s="393"/>
    </row>
    <row r="249" spans="3:6" s="383" customFormat="1" ht="12.75">
      <c r="C249" s="421"/>
      <c r="D249" s="393"/>
      <c r="E249" s="393"/>
      <c r="F249" s="393"/>
    </row>
    <row r="250" spans="3:6" s="383" customFormat="1" ht="12.75">
      <c r="C250" s="421"/>
      <c r="D250" s="393"/>
      <c r="E250" s="393"/>
      <c r="F250" s="393"/>
    </row>
    <row r="251" spans="3:6" s="383" customFormat="1" ht="12.75">
      <c r="C251" s="421"/>
      <c r="D251" s="393"/>
      <c r="E251" s="393"/>
      <c r="F251" s="393"/>
    </row>
    <row r="252" spans="3:6" s="383" customFormat="1" ht="12.75">
      <c r="C252" s="421"/>
      <c r="D252" s="393"/>
      <c r="E252" s="393"/>
      <c r="F252" s="393"/>
    </row>
    <row r="253" spans="3:6" s="383" customFormat="1" ht="12.75">
      <c r="C253" s="421"/>
      <c r="D253" s="393"/>
      <c r="E253" s="393"/>
      <c r="F253" s="393"/>
    </row>
    <row r="254" spans="3:6" s="383" customFormat="1" ht="12.75">
      <c r="C254" s="421"/>
      <c r="D254" s="393"/>
      <c r="E254" s="393"/>
      <c r="F254" s="393"/>
    </row>
    <row r="255" spans="3:6" s="383" customFormat="1" ht="12.75">
      <c r="C255" s="421"/>
      <c r="D255" s="393"/>
      <c r="E255" s="393"/>
      <c r="F255" s="393"/>
    </row>
    <row r="256" spans="3:6" s="383" customFormat="1" ht="12.75">
      <c r="C256" s="421"/>
      <c r="D256" s="393"/>
      <c r="E256" s="393"/>
      <c r="F256" s="393"/>
    </row>
    <row r="257" spans="3:6" s="383" customFormat="1" ht="12.75">
      <c r="C257" s="421"/>
      <c r="D257" s="393"/>
      <c r="E257" s="393"/>
      <c r="F257" s="393"/>
    </row>
    <row r="258" spans="3:6" s="383" customFormat="1" ht="12.75">
      <c r="C258" s="421"/>
      <c r="D258" s="393"/>
      <c r="E258" s="393"/>
      <c r="F258" s="393"/>
    </row>
    <row r="259" spans="3:6" s="383" customFormat="1" ht="12.75">
      <c r="C259" s="421"/>
      <c r="D259" s="393"/>
      <c r="E259" s="393"/>
      <c r="F259" s="393"/>
    </row>
    <row r="260" spans="3:6" s="383" customFormat="1" ht="12.75">
      <c r="C260" s="421"/>
      <c r="D260" s="393"/>
      <c r="E260" s="393"/>
      <c r="F260" s="393"/>
    </row>
    <row r="261" spans="3:6" s="383" customFormat="1" ht="12.75">
      <c r="C261" s="421"/>
      <c r="D261" s="393"/>
      <c r="E261" s="393"/>
      <c r="F261" s="393"/>
    </row>
    <row r="262" spans="3:6" s="383" customFormat="1" ht="12.75">
      <c r="C262" s="421"/>
      <c r="D262" s="393"/>
      <c r="E262" s="393"/>
      <c r="F262" s="393"/>
    </row>
    <row r="263" spans="3:6" s="383" customFormat="1" ht="12.75">
      <c r="C263" s="421"/>
      <c r="D263" s="393"/>
      <c r="E263" s="393"/>
      <c r="F263" s="393"/>
    </row>
    <row r="264" spans="3:6" s="383" customFormat="1" ht="12.75">
      <c r="C264" s="421"/>
      <c r="D264" s="393"/>
      <c r="E264" s="393"/>
      <c r="F264" s="393"/>
    </row>
    <row r="265" spans="3:6" s="383" customFormat="1" ht="12.75">
      <c r="C265" s="421"/>
      <c r="D265" s="393"/>
      <c r="E265" s="393"/>
      <c r="F265" s="393"/>
    </row>
    <row r="266" spans="3:6" s="383" customFormat="1" ht="12.75">
      <c r="C266" s="421"/>
      <c r="D266" s="393"/>
      <c r="E266" s="393"/>
      <c r="F266" s="393"/>
    </row>
    <row r="267" spans="3:6" s="383" customFormat="1" ht="12.75">
      <c r="C267" s="421"/>
      <c r="D267" s="393"/>
      <c r="E267" s="393"/>
      <c r="F267" s="393"/>
    </row>
    <row r="268" spans="3:6" s="383" customFormat="1" ht="12.75">
      <c r="C268" s="421"/>
      <c r="D268" s="393"/>
      <c r="E268" s="393"/>
      <c r="F268" s="393"/>
    </row>
    <row r="269" spans="3:6" s="383" customFormat="1" ht="12.75">
      <c r="C269" s="421"/>
      <c r="D269" s="393"/>
      <c r="E269" s="393"/>
      <c r="F269" s="393"/>
    </row>
    <row r="270" spans="3:6" s="383" customFormat="1" ht="12.75">
      <c r="C270" s="421"/>
      <c r="D270" s="393"/>
      <c r="E270" s="393"/>
      <c r="F270" s="393"/>
    </row>
    <row r="271" spans="3:6" s="383" customFormat="1" ht="12.75">
      <c r="C271" s="421"/>
      <c r="D271" s="393"/>
      <c r="E271" s="393"/>
      <c r="F271" s="393"/>
    </row>
    <row r="272" spans="3:6" s="383" customFormat="1" ht="12.75">
      <c r="C272" s="421"/>
      <c r="D272" s="393"/>
      <c r="E272" s="393"/>
      <c r="F272" s="393"/>
    </row>
    <row r="273" spans="3:6" s="383" customFormat="1" ht="12.75">
      <c r="C273" s="421"/>
      <c r="D273" s="393"/>
      <c r="E273" s="393"/>
      <c r="F273" s="393"/>
    </row>
    <row r="274" spans="3:6" s="383" customFormat="1" ht="12.75">
      <c r="C274" s="421"/>
      <c r="D274" s="393"/>
      <c r="E274" s="393"/>
      <c r="F274" s="393"/>
    </row>
    <row r="275" spans="3:6" s="383" customFormat="1" ht="12.75">
      <c r="C275" s="421"/>
      <c r="D275" s="393"/>
      <c r="E275" s="393"/>
      <c r="F275" s="393"/>
    </row>
    <row r="276" spans="3:6" s="383" customFormat="1" ht="12.75">
      <c r="C276" s="421"/>
      <c r="D276" s="393"/>
      <c r="E276" s="393"/>
      <c r="F276" s="393"/>
    </row>
    <row r="277" spans="3:6" s="383" customFormat="1" ht="12.75">
      <c r="C277" s="421"/>
      <c r="D277" s="393"/>
      <c r="E277" s="393"/>
      <c r="F277" s="393"/>
    </row>
    <row r="278" spans="3:6" s="383" customFormat="1" ht="12.75">
      <c r="C278" s="421"/>
      <c r="D278" s="393"/>
      <c r="E278" s="393"/>
      <c r="F278" s="393"/>
    </row>
    <row r="279" spans="3:6" s="383" customFormat="1" ht="12.75">
      <c r="C279" s="421"/>
      <c r="D279" s="393"/>
      <c r="E279" s="393"/>
      <c r="F279" s="393"/>
    </row>
    <row r="280" spans="3:6" s="383" customFormat="1" ht="12.75">
      <c r="C280" s="421"/>
      <c r="D280" s="393"/>
      <c r="E280" s="393"/>
      <c r="F280" s="393"/>
    </row>
    <row r="281" spans="3:6" s="383" customFormat="1" ht="12.75">
      <c r="C281" s="421"/>
      <c r="D281" s="393"/>
      <c r="E281" s="393"/>
      <c r="F281" s="393"/>
    </row>
    <row r="282" spans="3:6" s="383" customFormat="1" ht="12.75">
      <c r="C282" s="421"/>
      <c r="D282" s="393"/>
      <c r="E282" s="393"/>
      <c r="F282" s="393"/>
    </row>
    <row r="283" spans="3:6" s="383" customFormat="1" ht="12.75">
      <c r="C283" s="421"/>
      <c r="D283" s="393"/>
      <c r="E283" s="393"/>
      <c r="F283" s="393"/>
    </row>
    <row r="284" spans="3:6" s="383" customFormat="1" ht="12.75">
      <c r="C284" s="421"/>
      <c r="D284" s="393"/>
      <c r="E284" s="393"/>
      <c r="F284" s="393"/>
    </row>
    <row r="285" spans="3:6" s="383" customFormat="1" ht="12.75">
      <c r="C285" s="421"/>
      <c r="D285" s="393"/>
      <c r="E285" s="393"/>
      <c r="F285" s="393"/>
    </row>
    <row r="286" spans="3:6" s="383" customFormat="1" ht="12.75">
      <c r="C286" s="421"/>
      <c r="D286" s="393"/>
      <c r="E286" s="393"/>
      <c r="F286" s="393"/>
    </row>
    <row r="287" spans="3:6" s="383" customFormat="1" ht="12.75">
      <c r="C287" s="421"/>
      <c r="D287" s="393"/>
      <c r="E287" s="393"/>
      <c r="F287" s="393"/>
    </row>
    <row r="288" spans="3:6" s="383" customFormat="1" ht="12.75">
      <c r="C288" s="421"/>
      <c r="D288" s="393"/>
      <c r="E288" s="393"/>
      <c r="F288" s="393"/>
    </row>
    <row r="289" spans="3:6" s="383" customFormat="1" ht="12.75">
      <c r="C289" s="421"/>
      <c r="D289" s="393"/>
      <c r="E289" s="393"/>
      <c r="F289" s="393"/>
    </row>
    <row r="290" spans="3:6" s="383" customFormat="1" ht="12.75">
      <c r="C290" s="421"/>
      <c r="D290" s="393"/>
      <c r="E290" s="393"/>
      <c r="F290" s="393"/>
    </row>
    <row r="291" spans="3:6" s="383" customFormat="1" ht="12.75">
      <c r="C291" s="421"/>
      <c r="D291" s="393"/>
      <c r="E291" s="393"/>
      <c r="F291" s="393"/>
    </row>
    <row r="292" spans="3:6" s="383" customFormat="1" ht="12.75">
      <c r="C292" s="421"/>
      <c r="D292" s="393"/>
      <c r="E292" s="393"/>
      <c r="F292" s="393"/>
    </row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B2">
      <selection activeCell="D16" sqref="D16"/>
    </sheetView>
  </sheetViews>
  <sheetFormatPr defaultColWidth="9.140625" defaultRowHeight="12.75" outlineLevelRow="1"/>
  <cols>
    <col min="1" max="1" width="4.7109375" style="424" hidden="1" customWidth="1"/>
    <col min="2" max="2" width="2.7109375" style="438" customWidth="1"/>
    <col min="3" max="3" width="28.57421875" style="460" hidden="1" customWidth="1"/>
    <col min="4" max="4" width="45.7109375" style="460" customWidth="1"/>
    <col min="5" max="5" width="1.57421875" style="460" customWidth="1"/>
    <col min="6" max="6" width="15.140625" style="427" customWidth="1"/>
    <col min="7" max="7" width="16.00390625" style="427" customWidth="1"/>
    <col min="8" max="8" width="16.28125" style="427" customWidth="1"/>
    <col min="9" max="9" width="15.8515625" style="427" customWidth="1"/>
    <col min="10" max="11" width="16.140625" style="427" customWidth="1"/>
    <col min="12" max="12" width="20.00390625" style="427" customWidth="1"/>
    <col min="13" max="13" width="11.57421875" style="424" hidden="1" customWidth="1"/>
    <col min="14" max="15" width="9.140625" style="424" hidden="1" customWidth="1"/>
    <col min="16" max="16384" width="9.140625" style="424" customWidth="1"/>
  </cols>
  <sheetData>
    <row r="1" spans="1:12" ht="229.5" hidden="1">
      <c r="A1" s="424" t="s">
        <v>2593</v>
      </c>
      <c r="B1" s="425" t="s">
        <v>2792</v>
      </c>
      <c r="C1" s="426" t="s">
        <v>2793</v>
      </c>
      <c r="D1" s="426" t="s">
        <v>2794</v>
      </c>
      <c r="E1" s="426"/>
      <c r="F1" s="427" t="s">
        <v>1945</v>
      </c>
      <c r="G1" s="427" t="s">
        <v>1946</v>
      </c>
      <c r="H1" s="427" t="s">
        <v>1947</v>
      </c>
      <c r="I1" s="427" t="s">
        <v>1948</v>
      </c>
      <c r="J1" s="427" t="s">
        <v>1949</v>
      </c>
      <c r="K1" s="427" t="s">
        <v>1950</v>
      </c>
      <c r="L1" s="427" t="s">
        <v>2794</v>
      </c>
    </row>
    <row r="2" spans="1:15" s="437" customFormat="1" ht="15.75" customHeight="1">
      <c r="A2" s="428"/>
      <c r="B2" s="429" t="str">
        <f>"University of Missouri - "&amp;RBN</f>
        <v>University of Missouri - Rolla</v>
      </c>
      <c r="C2" s="430"/>
      <c r="D2" s="431"/>
      <c r="E2" s="432"/>
      <c r="F2" s="433"/>
      <c r="G2" s="433"/>
      <c r="H2" s="434" t="s">
        <v>2792</v>
      </c>
      <c r="I2" s="433"/>
      <c r="J2" s="433"/>
      <c r="K2" s="433"/>
      <c r="L2" s="434"/>
      <c r="M2" s="435"/>
      <c r="N2" s="436" t="s">
        <v>118</v>
      </c>
      <c r="O2" s="436" t="s">
        <v>2597</v>
      </c>
    </row>
    <row r="3" spans="1:15" ht="15.75" customHeight="1">
      <c r="A3" s="438"/>
      <c r="B3" s="439" t="s">
        <v>1951</v>
      </c>
      <c r="C3" s="440"/>
      <c r="D3" s="441"/>
      <c r="E3" s="442"/>
      <c r="F3" s="443"/>
      <c r="G3" s="443"/>
      <c r="H3" s="444"/>
      <c r="I3" s="443"/>
      <c r="J3" s="443"/>
      <c r="K3" s="443"/>
      <c r="L3" s="443"/>
      <c r="M3" s="445"/>
      <c r="O3" s="446" t="s">
        <v>1952</v>
      </c>
    </row>
    <row r="4" spans="1:15" ht="15.75" customHeight="1">
      <c r="A4" s="438"/>
      <c r="B4" s="447" t="str">
        <f>"As of "&amp;TEXT(O4,"MMMM DD, YYYY")</f>
        <v>As of June 30, 2006</v>
      </c>
      <c r="C4" s="440"/>
      <c r="D4" s="441"/>
      <c r="E4" s="442"/>
      <c r="F4" s="443"/>
      <c r="G4" s="443"/>
      <c r="H4" s="443"/>
      <c r="I4" s="443"/>
      <c r="J4" s="443"/>
      <c r="K4" s="443"/>
      <c r="L4" s="443"/>
      <c r="M4" s="445"/>
      <c r="O4" s="446" t="s">
        <v>117</v>
      </c>
    </row>
    <row r="5" spans="1:15" ht="12.75" customHeight="1">
      <c r="A5" s="438"/>
      <c r="B5" s="447"/>
      <c r="C5" s="440"/>
      <c r="D5" s="441"/>
      <c r="E5" s="442"/>
      <c r="F5" s="443"/>
      <c r="G5" s="443"/>
      <c r="H5" s="443"/>
      <c r="I5" s="443"/>
      <c r="J5" s="443"/>
      <c r="K5" s="443"/>
      <c r="L5" s="443"/>
      <c r="M5" s="448"/>
      <c r="O5" s="446" t="s">
        <v>2634</v>
      </c>
    </row>
    <row r="6" spans="1:12" s="453" customFormat="1" ht="15.75" customHeight="1">
      <c r="A6" s="449"/>
      <c r="B6" s="450"/>
      <c r="C6" s="451"/>
      <c r="D6" s="451"/>
      <c r="E6" s="451"/>
      <c r="F6" s="452" t="s">
        <v>1953</v>
      </c>
      <c r="G6" s="452" t="s">
        <v>1954</v>
      </c>
      <c r="H6" s="452" t="s">
        <v>1955</v>
      </c>
      <c r="I6" s="452" t="s">
        <v>1956</v>
      </c>
      <c r="J6" s="452"/>
      <c r="K6" s="452" t="s">
        <v>2641</v>
      </c>
      <c r="L6" s="452" t="s">
        <v>1953</v>
      </c>
    </row>
    <row r="7" spans="1:12" s="453" customFormat="1" ht="14.25" customHeight="1">
      <c r="A7" s="454"/>
      <c r="B7" s="455"/>
      <c r="C7" s="456"/>
      <c r="D7" s="456"/>
      <c r="E7" s="456"/>
      <c r="F7" s="457" t="str">
        <f>"July 1, "&amp;O5-1</f>
        <v>July 1, 2005</v>
      </c>
      <c r="G7" s="457" t="s">
        <v>1957</v>
      </c>
      <c r="H7" s="457" t="s">
        <v>1958</v>
      </c>
      <c r="I7" s="457" t="s">
        <v>1959</v>
      </c>
      <c r="J7" s="457" t="s">
        <v>1960</v>
      </c>
      <c r="K7" s="457" t="s">
        <v>1961</v>
      </c>
      <c r="L7" s="457" t="str">
        <f>TEXT(ASD,"MMMM DD, YYYY")</f>
        <v>June 30, 2006</v>
      </c>
    </row>
    <row r="8" spans="1:4" ht="12.75">
      <c r="A8" s="424" t="s">
        <v>2792</v>
      </c>
      <c r="B8" s="458" t="s">
        <v>1962</v>
      </c>
      <c r="C8" s="459"/>
      <c r="D8" s="459"/>
    </row>
    <row r="9" spans="1:12" ht="12.75" outlineLevel="1">
      <c r="A9" s="424" t="s">
        <v>1963</v>
      </c>
      <c r="B9" s="425"/>
      <c r="C9" s="426" t="s">
        <v>1964</v>
      </c>
      <c r="D9" s="426" t="str">
        <f aca="true" t="shared" si="0" ref="D9:D54">UPPER(C9)</f>
        <v>PERKINS LOAN(FEDERAL</v>
      </c>
      <c r="E9" s="426"/>
      <c r="F9" s="461">
        <v>5442374.52</v>
      </c>
      <c r="G9" s="461">
        <v>0</v>
      </c>
      <c r="H9" s="461">
        <v>62309.87</v>
      </c>
      <c r="I9" s="461">
        <v>-7914.6</v>
      </c>
      <c r="J9" s="461">
        <v>52535.19</v>
      </c>
      <c r="K9" s="461">
        <v>62259.2</v>
      </c>
      <c r="L9" s="461">
        <f aca="true" t="shared" si="1" ref="L9:L54">F9+G9+H9+I9-J9+K9</f>
        <v>5506493.8</v>
      </c>
    </row>
    <row r="10" spans="1:12" ht="12.75" outlineLevel="1">
      <c r="A10" s="424" t="s">
        <v>1965</v>
      </c>
      <c r="B10" s="425"/>
      <c r="C10" s="426" t="s">
        <v>1966</v>
      </c>
      <c r="D10" s="426" t="str">
        <f t="shared" si="0"/>
        <v>ICL(FEDERAL)</v>
      </c>
      <c r="E10" s="426"/>
      <c r="F10" s="427">
        <v>90450.09</v>
      </c>
      <c r="G10" s="427">
        <v>0</v>
      </c>
      <c r="H10" s="427">
        <v>0</v>
      </c>
      <c r="I10" s="427">
        <v>3807.99</v>
      </c>
      <c r="J10" s="427">
        <v>0</v>
      </c>
      <c r="K10" s="427">
        <v>0</v>
      </c>
      <c r="L10" s="427">
        <f t="shared" si="1"/>
        <v>94258.08</v>
      </c>
    </row>
    <row r="11" spans="1:12" ht="12.75" outlineLevel="1">
      <c r="A11" s="424" t="s">
        <v>1967</v>
      </c>
      <c r="B11" s="425"/>
      <c r="C11" s="426" t="s">
        <v>1968</v>
      </c>
      <c r="D11" s="426" t="str">
        <f t="shared" si="0"/>
        <v>ALLOW DBTFL LOAN-FED</v>
      </c>
      <c r="E11" s="426"/>
      <c r="F11" s="427">
        <v>-10000</v>
      </c>
      <c r="G11" s="427">
        <v>0</v>
      </c>
      <c r="H11" s="427">
        <v>-426619.39</v>
      </c>
      <c r="I11" s="427">
        <v>0</v>
      </c>
      <c r="J11" s="427">
        <v>0</v>
      </c>
      <c r="K11" s="427">
        <v>0</v>
      </c>
      <c r="L11" s="427">
        <f t="shared" si="1"/>
        <v>-436619.39</v>
      </c>
    </row>
    <row r="12" spans="1:12" ht="12.75" outlineLevel="1">
      <c r="A12" s="424" t="s">
        <v>1969</v>
      </c>
      <c r="B12" s="425"/>
      <c r="C12" s="426" t="s">
        <v>1970</v>
      </c>
      <c r="D12" s="426" t="str">
        <f t="shared" si="0"/>
        <v>ALUMNI STUDENT LOAN</v>
      </c>
      <c r="E12" s="426"/>
      <c r="F12" s="427">
        <v>446593.76</v>
      </c>
      <c r="G12" s="427">
        <v>19.5</v>
      </c>
      <c r="H12" s="427">
        <v>207.21</v>
      </c>
      <c r="I12" s="427">
        <v>578.78</v>
      </c>
      <c r="J12" s="427">
        <v>0</v>
      </c>
      <c r="K12" s="427">
        <v>0</v>
      </c>
      <c r="L12" s="427">
        <f t="shared" si="1"/>
        <v>447399.25000000006</v>
      </c>
    </row>
    <row r="13" spans="1:12" ht="12.75" outlineLevel="1">
      <c r="A13" s="424" t="s">
        <v>1971</v>
      </c>
      <c r="B13" s="425"/>
      <c r="C13" s="426" t="s">
        <v>1972</v>
      </c>
      <c r="D13" s="426" t="str">
        <f t="shared" si="0"/>
        <v>A S M E LOAN FUND</v>
      </c>
      <c r="E13" s="426"/>
      <c r="F13" s="427">
        <v>603.19</v>
      </c>
      <c r="G13" s="427">
        <v>0</v>
      </c>
      <c r="H13" s="427">
        <v>0</v>
      </c>
      <c r="I13" s="427">
        <v>25.39</v>
      </c>
      <c r="J13" s="427">
        <v>0</v>
      </c>
      <c r="K13" s="427">
        <v>0</v>
      </c>
      <c r="L13" s="427">
        <f t="shared" si="1"/>
        <v>628.58</v>
      </c>
    </row>
    <row r="14" spans="1:12" ht="12.75" outlineLevel="1">
      <c r="A14" s="424" t="s">
        <v>1973</v>
      </c>
      <c r="B14" s="425"/>
      <c r="C14" s="426" t="s">
        <v>1974</v>
      </c>
      <c r="D14" s="426" t="str">
        <f t="shared" si="0"/>
        <v>R A ARMSTRONG LOAN</v>
      </c>
      <c r="E14" s="426"/>
      <c r="F14" s="427">
        <v>146123.84</v>
      </c>
      <c r="G14" s="427">
        <v>0</v>
      </c>
      <c r="H14" s="427">
        <v>-1113.1</v>
      </c>
      <c r="I14" s="427">
        <v>1403.98</v>
      </c>
      <c r="J14" s="427">
        <v>12.5</v>
      </c>
      <c r="K14" s="427">
        <v>0</v>
      </c>
      <c r="L14" s="427">
        <f t="shared" si="1"/>
        <v>146402.22</v>
      </c>
    </row>
    <row r="15" spans="1:12" ht="12.75" outlineLevel="1">
      <c r="A15" s="424" t="s">
        <v>1975</v>
      </c>
      <c r="B15" s="425"/>
      <c r="C15" s="426" t="s">
        <v>1976</v>
      </c>
      <c r="D15" s="426" t="str">
        <f t="shared" si="0"/>
        <v>J B ARTHUR LOAN</v>
      </c>
      <c r="E15" s="426"/>
      <c r="F15" s="427">
        <v>44597.12</v>
      </c>
      <c r="G15" s="427">
        <v>0</v>
      </c>
      <c r="H15" s="427">
        <v>0</v>
      </c>
      <c r="I15" s="427">
        <v>14111.54</v>
      </c>
      <c r="J15" s="427">
        <v>0</v>
      </c>
      <c r="K15" s="427">
        <v>-8031.91</v>
      </c>
      <c r="L15" s="427">
        <f t="shared" si="1"/>
        <v>50676.75</v>
      </c>
    </row>
    <row r="16" spans="1:12" ht="12.75" outlineLevel="1">
      <c r="A16" s="424" t="s">
        <v>1977</v>
      </c>
      <c r="B16" s="425"/>
      <c r="C16" s="426" t="s">
        <v>1978</v>
      </c>
      <c r="D16" s="426" t="str">
        <f t="shared" si="0"/>
        <v>C S BARNARD LOAN</v>
      </c>
      <c r="E16" s="426"/>
      <c r="F16" s="427">
        <v>2131.96</v>
      </c>
      <c r="G16" s="427">
        <v>0</v>
      </c>
      <c r="H16" s="427">
        <v>0</v>
      </c>
      <c r="I16" s="427">
        <v>89.76</v>
      </c>
      <c r="J16" s="427">
        <v>0</v>
      </c>
      <c r="K16" s="427">
        <v>0</v>
      </c>
      <c r="L16" s="427">
        <f t="shared" si="1"/>
        <v>2221.7200000000003</v>
      </c>
    </row>
    <row r="17" spans="1:12" ht="12.75" outlineLevel="1">
      <c r="A17" s="424" t="s">
        <v>1979</v>
      </c>
      <c r="B17" s="425"/>
      <c r="C17" s="426" t="s">
        <v>1980</v>
      </c>
      <c r="D17" s="426" t="str">
        <f t="shared" si="0"/>
        <v>EUNICE BEIMDIEK LN</v>
      </c>
      <c r="E17" s="426"/>
      <c r="F17" s="427">
        <v>30.71</v>
      </c>
      <c r="G17" s="427">
        <v>0</v>
      </c>
      <c r="H17" s="427">
        <v>0</v>
      </c>
      <c r="I17" s="427">
        <v>1.28</v>
      </c>
      <c r="J17" s="427">
        <v>0</v>
      </c>
      <c r="K17" s="427">
        <v>0</v>
      </c>
      <c r="L17" s="427">
        <f t="shared" si="1"/>
        <v>31.990000000000002</v>
      </c>
    </row>
    <row r="18" spans="1:12" ht="12.75" outlineLevel="1">
      <c r="A18" s="424" t="s">
        <v>1981</v>
      </c>
      <c r="B18" s="425"/>
      <c r="C18" s="426" t="s">
        <v>1982</v>
      </c>
      <c r="D18" s="426" t="str">
        <f t="shared" si="0"/>
        <v>BERUTT MEM LOAN</v>
      </c>
      <c r="E18" s="426"/>
      <c r="F18" s="427">
        <v>10.52</v>
      </c>
      <c r="G18" s="427">
        <v>0</v>
      </c>
      <c r="H18" s="427">
        <v>0</v>
      </c>
      <c r="I18" s="427">
        <v>0</v>
      </c>
      <c r="J18" s="427">
        <v>0</v>
      </c>
      <c r="K18" s="427">
        <v>0</v>
      </c>
      <c r="L18" s="427">
        <f t="shared" si="1"/>
        <v>10.52</v>
      </c>
    </row>
    <row r="19" spans="1:12" ht="12.75" outlineLevel="1">
      <c r="A19" s="424" t="s">
        <v>1983</v>
      </c>
      <c r="B19" s="425"/>
      <c r="C19" s="426" t="s">
        <v>1984</v>
      </c>
      <c r="D19" s="426" t="str">
        <f t="shared" si="0"/>
        <v>JACK BOBBITT LOAN FD</v>
      </c>
      <c r="E19" s="426"/>
      <c r="F19" s="427">
        <v>1951.19</v>
      </c>
      <c r="G19" s="427">
        <v>0</v>
      </c>
      <c r="H19" s="427">
        <v>0</v>
      </c>
      <c r="I19" s="427">
        <v>82.16</v>
      </c>
      <c r="J19" s="427">
        <v>0</v>
      </c>
      <c r="K19" s="427">
        <v>0</v>
      </c>
      <c r="L19" s="427">
        <f t="shared" si="1"/>
        <v>2033.3500000000001</v>
      </c>
    </row>
    <row r="20" spans="1:12" ht="12.75" outlineLevel="1">
      <c r="A20" s="424" t="s">
        <v>1985</v>
      </c>
      <c r="B20" s="425"/>
      <c r="C20" s="426" t="s">
        <v>1986</v>
      </c>
      <c r="D20" s="426" t="str">
        <f t="shared" si="0"/>
        <v>BOYD MEM LOAN</v>
      </c>
      <c r="E20" s="426"/>
      <c r="F20" s="427">
        <v>0.74</v>
      </c>
      <c r="G20" s="427">
        <v>0</v>
      </c>
      <c r="H20" s="427">
        <v>0</v>
      </c>
      <c r="I20" s="427">
        <v>0</v>
      </c>
      <c r="J20" s="427">
        <v>0</v>
      </c>
      <c r="K20" s="427">
        <v>0</v>
      </c>
      <c r="L20" s="427">
        <f t="shared" si="1"/>
        <v>0.74</v>
      </c>
    </row>
    <row r="21" spans="1:12" ht="12.75" outlineLevel="1">
      <c r="A21" s="424" t="s">
        <v>1987</v>
      </c>
      <c r="B21" s="425"/>
      <c r="C21" s="426" t="s">
        <v>1988</v>
      </c>
      <c r="D21" s="426" t="str">
        <f t="shared" si="0"/>
        <v>BOYD/WATTS LOAN</v>
      </c>
      <c r="E21" s="426"/>
      <c r="F21" s="427">
        <v>21430.8</v>
      </c>
      <c r="G21" s="427">
        <v>0</v>
      </c>
      <c r="H21" s="427">
        <v>4</v>
      </c>
      <c r="I21" s="427">
        <v>109.33</v>
      </c>
      <c r="J21" s="427">
        <v>0</v>
      </c>
      <c r="K21" s="427">
        <v>-1707.13</v>
      </c>
      <c r="L21" s="427">
        <f t="shared" si="1"/>
        <v>19837</v>
      </c>
    </row>
    <row r="22" spans="1:12" ht="12.75" outlineLevel="1">
      <c r="A22" s="424" t="s">
        <v>1989</v>
      </c>
      <c r="B22" s="425"/>
      <c r="C22" s="426" t="s">
        <v>1990</v>
      </c>
      <c r="D22" s="426" t="str">
        <f t="shared" si="0"/>
        <v>HUGH AND FLO BRYANT</v>
      </c>
      <c r="E22" s="426"/>
      <c r="F22" s="427">
        <v>0</v>
      </c>
      <c r="G22" s="427">
        <v>0</v>
      </c>
      <c r="H22" s="427">
        <v>949.96</v>
      </c>
      <c r="I22" s="427">
        <v>0</v>
      </c>
      <c r="J22" s="427">
        <v>0</v>
      </c>
      <c r="K22" s="427">
        <v>54858.83</v>
      </c>
      <c r="L22" s="427">
        <f t="shared" si="1"/>
        <v>55808.79</v>
      </c>
    </row>
    <row r="23" spans="1:12" ht="12.75" outlineLevel="1">
      <c r="A23" s="424" t="s">
        <v>1991</v>
      </c>
      <c r="B23" s="425"/>
      <c r="C23" s="426" t="s">
        <v>1992</v>
      </c>
      <c r="D23" s="426" t="str">
        <f t="shared" si="0"/>
        <v>EBEN R CRUM LOAN</v>
      </c>
      <c r="E23" s="426"/>
      <c r="F23" s="427">
        <v>100245.62</v>
      </c>
      <c r="G23" s="427">
        <v>0</v>
      </c>
      <c r="H23" s="427">
        <v>-793.98</v>
      </c>
      <c r="I23" s="427">
        <v>2484.68</v>
      </c>
      <c r="J23" s="427">
        <v>0</v>
      </c>
      <c r="K23" s="427">
        <v>0</v>
      </c>
      <c r="L23" s="427">
        <f t="shared" si="1"/>
        <v>101936.31999999999</v>
      </c>
    </row>
    <row r="24" spans="1:12" ht="12.75" outlineLevel="1">
      <c r="A24" s="424" t="s">
        <v>1993</v>
      </c>
      <c r="B24" s="425"/>
      <c r="C24" s="426" t="s">
        <v>1994</v>
      </c>
      <c r="D24" s="426" t="str">
        <f t="shared" si="0"/>
        <v>PB &amp; JJ DOYLE LN FD</v>
      </c>
      <c r="E24" s="426"/>
      <c r="F24" s="427">
        <v>448901.47</v>
      </c>
      <c r="G24" s="427">
        <v>237.41</v>
      </c>
      <c r="H24" s="427">
        <v>2331.86</v>
      </c>
      <c r="I24" s="427">
        <v>345.91</v>
      </c>
      <c r="J24" s="427">
        <v>6.25</v>
      </c>
      <c r="K24" s="427">
        <v>0</v>
      </c>
      <c r="L24" s="427">
        <f t="shared" si="1"/>
        <v>451810.3999999999</v>
      </c>
    </row>
    <row r="25" spans="1:12" ht="12.75" outlineLevel="1">
      <c r="A25" s="424" t="s">
        <v>1995</v>
      </c>
      <c r="B25" s="425"/>
      <c r="C25" s="426" t="s">
        <v>1996</v>
      </c>
      <c r="D25" s="426" t="str">
        <f t="shared" si="0"/>
        <v>ELECT ENG LOAN FD</v>
      </c>
      <c r="E25" s="426"/>
      <c r="F25" s="427">
        <v>3061.22</v>
      </c>
      <c r="G25" s="427">
        <v>0</v>
      </c>
      <c r="H25" s="427">
        <v>0</v>
      </c>
      <c r="I25" s="427">
        <v>128.89</v>
      </c>
      <c r="J25" s="427">
        <v>0</v>
      </c>
      <c r="K25" s="427">
        <v>0</v>
      </c>
      <c r="L25" s="427">
        <f t="shared" si="1"/>
        <v>3190.1099999999997</v>
      </c>
    </row>
    <row r="26" spans="1:12" ht="12.75" outlineLevel="1">
      <c r="A26" s="424" t="s">
        <v>1997</v>
      </c>
      <c r="B26" s="425"/>
      <c r="C26" s="426" t="s">
        <v>1998</v>
      </c>
      <c r="D26" s="426" t="str">
        <f t="shared" si="0"/>
        <v>H Q FULLER SCH-LN FD</v>
      </c>
      <c r="E26" s="426"/>
      <c r="F26" s="427">
        <v>14102.95</v>
      </c>
      <c r="G26" s="427">
        <v>0</v>
      </c>
      <c r="H26" s="427">
        <v>0</v>
      </c>
      <c r="I26" s="427">
        <v>1218.43</v>
      </c>
      <c r="J26" s="427">
        <v>0</v>
      </c>
      <c r="K26" s="427">
        <v>0</v>
      </c>
      <c r="L26" s="427">
        <f t="shared" si="1"/>
        <v>15321.380000000001</v>
      </c>
    </row>
    <row r="27" spans="1:12" ht="12.75" outlineLevel="1">
      <c r="A27" s="424" t="s">
        <v>1999</v>
      </c>
      <c r="B27" s="425"/>
      <c r="C27" s="426" t="s">
        <v>2000</v>
      </c>
      <c r="D27" s="426" t="str">
        <f t="shared" si="0"/>
        <v>HARTVIGSEN ESTATE FD</v>
      </c>
      <c r="E27" s="426"/>
      <c r="F27" s="427">
        <v>0</v>
      </c>
      <c r="G27" s="427">
        <v>0</v>
      </c>
      <c r="H27" s="427">
        <v>253.53</v>
      </c>
      <c r="I27" s="427">
        <v>-99.82</v>
      </c>
      <c r="J27" s="427">
        <v>0</v>
      </c>
      <c r="K27" s="427">
        <v>7506.08</v>
      </c>
      <c r="L27" s="427">
        <f t="shared" si="1"/>
        <v>7659.79</v>
      </c>
    </row>
    <row r="28" spans="1:12" ht="12.75" outlineLevel="1">
      <c r="A28" s="424" t="s">
        <v>2001</v>
      </c>
      <c r="B28" s="425"/>
      <c r="C28" s="426" t="s">
        <v>2002</v>
      </c>
      <c r="D28" s="426" t="str">
        <f t="shared" si="0"/>
        <v>GOLD LOAN FUND</v>
      </c>
      <c r="E28" s="426"/>
      <c r="F28" s="427">
        <v>3825053</v>
      </c>
      <c r="G28" s="427">
        <v>0</v>
      </c>
      <c r="H28" s="427">
        <v>67598.82</v>
      </c>
      <c r="I28" s="427">
        <v>12222.97</v>
      </c>
      <c r="J28" s="427">
        <v>108</v>
      </c>
      <c r="K28" s="427">
        <v>-62259.2</v>
      </c>
      <c r="L28" s="427">
        <f t="shared" si="1"/>
        <v>3842507.59</v>
      </c>
    </row>
    <row r="29" spans="1:12" ht="12.75" outlineLevel="1">
      <c r="A29" s="424" t="s">
        <v>2003</v>
      </c>
      <c r="B29" s="425"/>
      <c r="C29" s="426" t="s">
        <v>2004</v>
      </c>
      <c r="D29" s="426" t="str">
        <f t="shared" si="0"/>
        <v>JOHN P HARMON LOAN</v>
      </c>
      <c r="E29" s="426"/>
      <c r="F29" s="427">
        <v>32555.1</v>
      </c>
      <c r="G29" s="427">
        <v>1302.8</v>
      </c>
      <c r="H29" s="427">
        <v>940</v>
      </c>
      <c r="I29" s="427">
        <v>383.53</v>
      </c>
      <c r="J29" s="427">
        <v>0</v>
      </c>
      <c r="K29" s="427">
        <v>0</v>
      </c>
      <c r="L29" s="427">
        <f t="shared" si="1"/>
        <v>35181.43</v>
      </c>
    </row>
    <row r="30" spans="1:12" ht="12.75" outlineLevel="1">
      <c r="A30" s="424" t="s">
        <v>2005</v>
      </c>
      <c r="B30" s="425"/>
      <c r="C30" s="426" t="s">
        <v>2006</v>
      </c>
      <c r="D30" s="426" t="str">
        <f t="shared" si="0"/>
        <v>HASSELMANN LOAN FUND</v>
      </c>
      <c r="E30" s="426"/>
      <c r="F30" s="427">
        <v>14820.27</v>
      </c>
      <c r="G30" s="427">
        <v>0</v>
      </c>
      <c r="H30" s="427">
        <v>0</v>
      </c>
      <c r="I30" s="427">
        <v>68.11</v>
      </c>
      <c r="J30" s="427">
        <v>0</v>
      </c>
      <c r="K30" s="427">
        <v>0</v>
      </c>
      <c r="L30" s="427">
        <f t="shared" si="1"/>
        <v>14888.380000000001</v>
      </c>
    </row>
    <row r="31" spans="1:12" ht="12.75" outlineLevel="1">
      <c r="A31" s="424" t="s">
        <v>2007</v>
      </c>
      <c r="B31" s="425"/>
      <c r="C31" s="426" t="s">
        <v>2008</v>
      </c>
      <c r="D31" s="426" t="str">
        <f t="shared" si="0"/>
        <v>JACKLING LOAN FUND</v>
      </c>
      <c r="E31" s="426"/>
      <c r="F31" s="427">
        <v>101766.64</v>
      </c>
      <c r="G31" s="427">
        <v>0</v>
      </c>
      <c r="H31" s="427">
        <v>272.54</v>
      </c>
      <c r="I31" s="427">
        <v>433.14</v>
      </c>
      <c r="J31" s="427">
        <v>-51.76</v>
      </c>
      <c r="K31" s="427">
        <v>0</v>
      </c>
      <c r="L31" s="427">
        <f t="shared" si="1"/>
        <v>102524.07999999999</v>
      </c>
    </row>
    <row r="32" spans="1:12" ht="12.75" outlineLevel="1">
      <c r="A32" s="424" t="s">
        <v>2009</v>
      </c>
      <c r="B32" s="425"/>
      <c r="C32" s="426" t="s">
        <v>2010</v>
      </c>
      <c r="D32" s="426" t="str">
        <f t="shared" si="0"/>
        <v>MCBRIDE LOAN/SCHP</v>
      </c>
      <c r="E32" s="426"/>
      <c r="F32" s="427">
        <v>378054.27</v>
      </c>
      <c r="G32" s="427">
        <v>0</v>
      </c>
      <c r="H32" s="427">
        <v>5038.86</v>
      </c>
      <c r="I32" s="427">
        <v>131130.13</v>
      </c>
      <c r="J32" s="427">
        <v>0</v>
      </c>
      <c r="K32" s="427">
        <v>-134607.46</v>
      </c>
      <c r="L32" s="427">
        <f t="shared" si="1"/>
        <v>379615.80000000005</v>
      </c>
    </row>
    <row r="33" spans="1:12" ht="12.75" outlineLevel="1">
      <c r="A33" s="424" t="s">
        <v>2011</v>
      </c>
      <c r="B33" s="425"/>
      <c r="C33" s="426" t="s">
        <v>2012</v>
      </c>
      <c r="D33" s="426" t="str">
        <f t="shared" si="0"/>
        <v>"M" CLUB LOAN FUND</v>
      </c>
      <c r="E33" s="426"/>
      <c r="F33" s="427">
        <v>2252.4</v>
      </c>
      <c r="G33" s="427">
        <v>0</v>
      </c>
      <c r="H33" s="427">
        <v>0</v>
      </c>
      <c r="I33" s="427">
        <v>94.84</v>
      </c>
      <c r="J33" s="427">
        <v>0</v>
      </c>
      <c r="K33" s="427">
        <v>0</v>
      </c>
      <c r="L33" s="427">
        <f t="shared" si="1"/>
        <v>2347.2400000000002</v>
      </c>
    </row>
    <row r="34" spans="1:12" ht="12.75" outlineLevel="1">
      <c r="A34" s="424" t="s">
        <v>2013</v>
      </c>
      <c r="B34" s="425"/>
      <c r="C34" s="426" t="s">
        <v>2014</v>
      </c>
      <c r="D34" s="426" t="str">
        <f t="shared" si="0"/>
        <v>STONE SCHP/LOAN</v>
      </c>
      <c r="E34" s="426"/>
      <c r="F34" s="427">
        <v>74755.51</v>
      </c>
      <c r="G34" s="427">
        <v>0</v>
      </c>
      <c r="H34" s="427">
        <v>331.37</v>
      </c>
      <c r="I34" s="427">
        <v>722.71</v>
      </c>
      <c r="J34" s="427">
        <v>0</v>
      </c>
      <c r="K34" s="427">
        <v>12012.82</v>
      </c>
      <c r="L34" s="427">
        <f t="shared" si="1"/>
        <v>87822.41</v>
      </c>
    </row>
    <row r="35" spans="1:12" ht="12.75" outlineLevel="1">
      <c r="A35" s="424" t="s">
        <v>2015</v>
      </c>
      <c r="B35" s="425"/>
      <c r="C35" s="426" t="s">
        <v>2016</v>
      </c>
      <c r="D35" s="426" t="str">
        <f t="shared" si="0"/>
        <v>H L PRANGE LOAN</v>
      </c>
      <c r="E35" s="426"/>
      <c r="F35" s="427">
        <v>29853.57</v>
      </c>
      <c r="G35" s="427">
        <v>1000</v>
      </c>
      <c r="H35" s="427">
        <v>730.3</v>
      </c>
      <c r="I35" s="427">
        <v>469.65</v>
      </c>
      <c r="J35" s="427">
        <v>0</v>
      </c>
      <c r="K35" s="427">
        <v>0</v>
      </c>
      <c r="L35" s="427">
        <f t="shared" si="1"/>
        <v>32053.52</v>
      </c>
    </row>
    <row r="36" spans="1:12" ht="12.75" outlineLevel="1">
      <c r="A36" s="424" t="s">
        <v>2017</v>
      </c>
      <c r="B36" s="425"/>
      <c r="C36" s="426" t="s">
        <v>2018</v>
      </c>
      <c r="D36" s="426" t="str">
        <f t="shared" si="0"/>
        <v>RHOADES 32 LOAN FD</v>
      </c>
      <c r="E36" s="426"/>
      <c r="F36" s="427">
        <v>62532.71</v>
      </c>
      <c r="G36" s="427">
        <v>0</v>
      </c>
      <c r="H36" s="427">
        <v>641.83</v>
      </c>
      <c r="I36" s="427">
        <v>1017.88</v>
      </c>
      <c r="J36" s="427">
        <v>0</v>
      </c>
      <c r="K36" s="427">
        <v>0</v>
      </c>
      <c r="L36" s="427">
        <f t="shared" si="1"/>
        <v>64192.42</v>
      </c>
    </row>
    <row r="37" spans="1:12" ht="12.75" outlineLevel="1">
      <c r="A37" s="424" t="s">
        <v>2019</v>
      </c>
      <c r="B37" s="425"/>
      <c r="C37" s="426" t="s">
        <v>2020</v>
      </c>
      <c r="D37" s="426" t="str">
        <f t="shared" si="0"/>
        <v>ROLLA ROTARY CLUB LN</v>
      </c>
      <c r="E37" s="426"/>
      <c r="F37" s="427">
        <v>6101.3</v>
      </c>
      <c r="G37" s="427">
        <v>0</v>
      </c>
      <c r="H37" s="427">
        <v>-845</v>
      </c>
      <c r="I37" s="427">
        <v>172.66</v>
      </c>
      <c r="J37" s="427">
        <v>0</v>
      </c>
      <c r="K37" s="427">
        <v>0</v>
      </c>
      <c r="L37" s="427">
        <f t="shared" si="1"/>
        <v>5428.96</v>
      </c>
    </row>
    <row r="38" spans="1:12" ht="12.75" outlineLevel="1">
      <c r="A38" s="424" t="s">
        <v>2021</v>
      </c>
      <c r="B38" s="425"/>
      <c r="C38" s="426" t="s">
        <v>2022</v>
      </c>
      <c r="D38" s="426" t="str">
        <f t="shared" si="0"/>
        <v>D R SCHOOLER MEM LN</v>
      </c>
      <c r="E38" s="426"/>
      <c r="F38" s="427">
        <v>839</v>
      </c>
      <c r="G38" s="427">
        <v>0</v>
      </c>
      <c r="H38" s="427">
        <v>0</v>
      </c>
      <c r="I38" s="427">
        <v>35.32</v>
      </c>
      <c r="J38" s="427">
        <v>0</v>
      </c>
      <c r="K38" s="427">
        <v>0</v>
      </c>
      <c r="L38" s="427">
        <f t="shared" si="1"/>
        <v>874.32</v>
      </c>
    </row>
    <row r="39" spans="1:12" ht="12.75" outlineLevel="1">
      <c r="A39" s="424" t="s">
        <v>2023</v>
      </c>
      <c r="B39" s="425"/>
      <c r="C39" s="426" t="s">
        <v>2024</v>
      </c>
      <c r="D39" s="426" t="str">
        <f t="shared" si="0"/>
        <v>W T SCHRENK LOAN</v>
      </c>
      <c r="E39" s="426"/>
      <c r="F39" s="427">
        <v>119237.9</v>
      </c>
      <c r="G39" s="427">
        <v>200</v>
      </c>
      <c r="H39" s="427">
        <v>1821.85</v>
      </c>
      <c r="I39" s="427">
        <v>3704.51</v>
      </c>
      <c r="J39" s="427">
        <v>0</v>
      </c>
      <c r="K39" s="427">
        <v>0</v>
      </c>
      <c r="L39" s="427">
        <f t="shared" si="1"/>
        <v>124964.26</v>
      </c>
    </row>
    <row r="40" spans="1:12" ht="12.75" outlineLevel="1">
      <c r="A40" s="424" t="s">
        <v>2025</v>
      </c>
      <c r="B40" s="425"/>
      <c r="C40" s="426" t="s">
        <v>2026</v>
      </c>
      <c r="D40" s="426" t="str">
        <f t="shared" si="0"/>
        <v>O M SCOTT LOAN</v>
      </c>
      <c r="E40" s="426"/>
      <c r="F40" s="427">
        <v>0</v>
      </c>
      <c r="G40" s="427">
        <v>0</v>
      </c>
      <c r="H40" s="427">
        <v>0</v>
      </c>
      <c r="I40" s="427">
        <v>150.11</v>
      </c>
      <c r="J40" s="427">
        <v>0</v>
      </c>
      <c r="K40" s="427">
        <v>636.9700000000012</v>
      </c>
      <c r="L40" s="427">
        <f t="shared" si="1"/>
        <v>787.0800000000012</v>
      </c>
    </row>
    <row r="41" spans="1:12" ht="12.75" outlineLevel="1">
      <c r="A41" s="424" t="s">
        <v>2027</v>
      </c>
      <c r="B41" s="425"/>
      <c r="C41" s="426" t="s">
        <v>2028</v>
      </c>
      <c r="D41" s="426" t="str">
        <f t="shared" si="0"/>
        <v>JOHN R STUBBINS LOAN</v>
      </c>
      <c r="E41" s="426"/>
      <c r="F41" s="427">
        <v>81107.21</v>
      </c>
      <c r="G41" s="427">
        <v>0</v>
      </c>
      <c r="H41" s="427">
        <v>1764.54</v>
      </c>
      <c r="I41" s="427">
        <v>299.76</v>
      </c>
      <c r="J41" s="427">
        <v>0</v>
      </c>
      <c r="K41" s="427">
        <v>0</v>
      </c>
      <c r="L41" s="427">
        <f t="shared" si="1"/>
        <v>83171.51</v>
      </c>
    </row>
    <row r="42" spans="1:12" ht="12.75" outlineLevel="1">
      <c r="A42" s="424" t="s">
        <v>2029</v>
      </c>
      <c r="B42" s="425"/>
      <c r="C42" s="426" t="s">
        <v>2030</v>
      </c>
      <c r="D42" s="426" t="str">
        <f t="shared" si="0"/>
        <v>TRAGITT MEM LOAN</v>
      </c>
      <c r="E42" s="426"/>
      <c r="F42" s="427">
        <v>8943.69</v>
      </c>
      <c r="G42" s="427">
        <v>0</v>
      </c>
      <c r="H42" s="427">
        <v>172.41</v>
      </c>
      <c r="I42" s="427">
        <v>224.46</v>
      </c>
      <c r="J42" s="427">
        <v>0</v>
      </c>
      <c r="K42" s="427">
        <v>0</v>
      </c>
      <c r="L42" s="427">
        <f t="shared" si="1"/>
        <v>9340.56</v>
      </c>
    </row>
    <row r="43" spans="1:12" ht="12.75" outlineLevel="1">
      <c r="A43" s="424" t="s">
        <v>2031</v>
      </c>
      <c r="B43" s="425"/>
      <c r="C43" s="426" t="s">
        <v>2032</v>
      </c>
      <c r="D43" s="426" t="str">
        <f t="shared" si="0"/>
        <v>F E TOWNSEND LOAN</v>
      </c>
      <c r="E43" s="426"/>
      <c r="F43" s="427">
        <v>23226.96</v>
      </c>
      <c r="G43" s="427">
        <v>0</v>
      </c>
      <c r="H43" s="427">
        <v>3.88</v>
      </c>
      <c r="I43" s="427">
        <v>106.93</v>
      </c>
      <c r="J43" s="427">
        <v>0</v>
      </c>
      <c r="K43" s="427">
        <v>0</v>
      </c>
      <c r="L43" s="427">
        <f t="shared" si="1"/>
        <v>23337.77</v>
      </c>
    </row>
    <row r="44" spans="1:12" ht="12.75" outlineLevel="1">
      <c r="A44" s="424" t="s">
        <v>2033</v>
      </c>
      <c r="B44" s="425"/>
      <c r="C44" s="426" t="s">
        <v>2034</v>
      </c>
      <c r="D44" s="426" t="str">
        <f t="shared" si="0"/>
        <v>UNITED STUDENT AID</v>
      </c>
      <c r="E44" s="426"/>
      <c r="F44" s="427">
        <v>3000</v>
      </c>
      <c r="G44" s="427">
        <v>0</v>
      </c>
      <c r="H44" s="427">
        <v>0</v>
      </c>
      <c r="I44" s="427">
        <v>0</v>
      </c>
      <c r="J44" s="427">
        <v>0</v>
      </c>
      <c r="K44" s="427">
        <v>0</v>
      </c>
      <c r="L44" s="427">
        <f t="shared" si="1"/>
        <v>3000</v>
      </c>
    </row>
    <row r="45" spans="1:12" ht="12.75" outlineLevel="1">
      <c r="A45" s="424" t="s">
        <v>2035</v>
      </c>
      <c r="B45" s="425"/>
      <c r="C45" s="426" t="s">
        <v>2036</v>
      </c>
      <c r="D45" s="426" t="str">
        <f t="shared" si="0"/>
        <v>E W WAGGONER LOAN</v>
      </c>
      <c r="E45" s="426"/>
      <c r="F45" s="427">
        <v>1659.23</v>
      </c>
      <c r="G45" s="427">
        <v>0</v>
      </c>
      <c r="H45" s="427">
        <v>0</v>
      </c>
      <c r="I45" s="427">
        <v>69.84</v>
      </c>
      <c r="J45" s="427">
        <v>0</v>
      </c>
      <c r="K45" s="427">
        <v>0</v>
      </c>
      <c r="L45" s="427">
        <f t="shared" si="1"/>
        <v>1729.07</v>
      </c>
    </row>
    <row r="46" spans="1:12" ht="12.75" outlineLevel="1">
      <c r="A46" s="424" t="s">
        <v>2037</v>
      </c>
      <c r="B46" s="425"/>
      <c r="C46" s="426" t="s">
        <v>2038</v>
      </c>
      <c r="D46" s="426" t="str">
        <f t="shared" si="0"/>
        <v>WESTERN ELECTRIC LN</v>
      </c>
      <c r="E46" s="426"/>
      <c r="F46" s="427">
        <v>48.78</v>
      </c>
      <c r="G46" s="427">
        <v>0</v>
      </c>
      <c r="H46" s="427">
        <v>0</v>
      </c>
      <c r="I46" s="427">
        <v>2.05</v>
      </c>
      <c r="J46" s="427">
        <v>0</v>
      </c>
      <c r="K46" s="427">
        <v>0</v>
      </c>
      <c r="L46" s="427">
        <f t="shared" si="1"/>
        <v>50.83</v>
      </c>
    </row>
    <row r="47" spans="1:12" ht="12.75" outlineLevel="1">
      <c r="A47" s="424" t="s">
        <v>2039</v>
      </c>
      <c r="B47" s="425"/>
      <c r="C47" s="426" t="s">
        <v>2040</v>
      </c>
      <c r="D47" s="426" t="str">
        <f t="shared" si="0"/>
        <v>WOMEN'S AUXILIARY LN</v>
      </c>
      <c r="E47" s="426"/>
      <c r="F47" s="427">
        <v>2188.96</v>
      </c>
      <c r="G47" s="427">
        <v>0</v>
      </c>
      <c r="H47" s="427">
        <v>0</v>
      </c>
      <c r="I47" s="427">
        <v>92.15</v>
      </c>
      <c r="J47" s="427">
        <v>0</v>
      </c>
      <c r="K47" s="427">
        <v>0</v>
      </c>
      <c r="L47" s="427">
        <f t="shared" si="1"/>
        <v>2281.11</v>
      </c>
    </row>
    <row r="48" spans="1:12" ht="12.75" outlineLevel="1">
      <c r="A48" s="424" t="s">
        <v>2041</v>
      </c>
      <c r="B48" s="425"/>
      <c r="C48" s="426" t="s">
        <v>2042</v>
      </c>
      <c r="D48" s="426" t="str">
        <f t="shared" si="0"/>
        <v>H E ZOLLER ST N FD</v>
      </c>
      <c r="E48" s="426"/>
      <c r="F48" s="427">
        <v>40176.38</v>
      </c>
      <c r="G48" s="427">
        <v>0</v>
      </c>
      <c r="H48" s="427">
        <v>840.72</v>
      </c>
      <c r="I48" s="427">
        <v>125.64</v>
      </c>
      <c r="J48" s="427">
        <v>0</v>
      </c>
      <c r="K48" s="427">
        <v>0</v>
      </c>
      <c r="L48" s="427">
        <f t="shared" si="1"/>
        <v>41142.74</v>
      </c>
    </row>
    <row r="49" spans="1:12" ht="12.75" outlineLevel="1">
      <c r="A49" s="424" t="s">
        <v>2043</v>
      </c>
      <c r="B49" s="425"/>
      <c r="C49" s="426" t="s">
        <v>2044</v>
      </c>
      <c r="D49" s="426" t="str">
        <f t="shared" si="0"/>
        <v>ALLOW DBFL NOT NF RE</v>
      </c>
      <c r="E49" s="426"/>
      <c r="F49" s="427">
        <v>-10000</v>
      </c>
      <c r="G49" s="427">
        <v>0</v>
      </c>
      <c r="H49" s="427">
        <v>-237192.43</v>
      </c>
      <c r="I49" s="427">
        <v>0</v>
      </c>
      <c r="J49" s="427">
        <v>0</v>
      </c>
      <c r="K49" s="427">
        <v>0</v>
      </c>
      <c r="L49" s="427">
        <f t="shared" si="1"/>
        <v>-247192.43</v>
      </c>
    </row>
    <row r="50" spans="1:12" ht="12.75" outlineLevel="1">
      <c r="A50" s="424" t="s">
        <v>2045</v>
      </c>
      <c r="B50" s="425"/>
      <c r="C50" s="426" t="s">
        <v>2046</v>
      </c>
      <c r="D50" s="426" t="str">
        <f t="shared" si="0"/>
        <v>IVA BASORE LOAN</v>
      </c>
      <c r="E50" s="426"/>
      <c r="F50" s="427">
        <v>27238.25</v>
      </c>
      <c r="G50" s="427">
        <v>0</v>
      </c>
      <c r="H50" s="427">
        <v>0</v>
      </c>
      <c r="I50" s="427">
        <v>628.92</v>
      </c>
      <c r="J50" s="427">
        <v>0</v>
      </c>
      <c r="K50" s="427">
        <v>0</v>
      </c>
      <c r="L50" s="427">
        <f t="shared" si="1"/>
        <v>27867.17</v>
      </c>
    </row>
    <row r="51" spans="1:12" ht="12.75" outlineLevel="1">
      <c r="A51" s="424" t="s">
        <v>2047</v>
      </c>
      <c r="B51" s="425"/>
      <c r="C51" s="426" t="s">
        <v>2048</v>
      </c>
      <c r="D51" s="426" t="str">
        <f t="shared" si="0"/>
        <v>MET ENGR ALUMNI LN</v>
      </c>
      <c r="E51" s="426"/>
      <c r="F51" s="427">
        <v>11874.68</v>
      </c>
      <c r="G51" s="427">
        <v>0</v>
      </c>
      <c r="H51" s="427">
        <v>0</v>
      </c>
      <c r="I51" s="427">
        <v>499.94</v>
      </c>
      <c r="J51" s="427">
        <v>0</v>
      </c>
      <c r="K51" s="427">
        <v>0</v>
      </c>
      <c r="L51" s="427">
        <f t="shared" si="1"/>
        <v>12374.62</v>
      </c>
    </row>
    <row r="52" spans="1:12" ht="12.75" outlineLevel="1">
      <c r="A52" s="424" t="s">
        <v>2049</v>
      </c>
      <c r="B52" s="425"/>
      <c r="C52" s="426" t="s">
        <v>2050</v>
      </c>
      <c r="D52" s="426" t="str">
        <f t="shared" si="0"/>
        <v>CHRISTIAN LOAN FUND</v>
      </c>
      <c r="E52" s="426"/>
      <c r="F52" s="427">
        <v>5496.83</v>
      </c>
      <c r="G52" s="427">
        <v>0</v>
      </c>
      <c r="H52" s="427">
        <v>0</v>
      </c>
      <c r="I52" s="427">
        <v>231.43</v>
      </c>
      <c r="J52" s="427">
        <v>0</v>
      </c>
      <c r="K52" s="427">
        <v>0</v>
      </c>
      <c r="L52" s="427">
        <f t="shared" si="1"/>
        <v>5728.26</v>
      </c>
    </row>
    <row r="53" spans="1:12" ht="12.75" outlineLevel="1">
      <c r="A53" s="424" t="s">
        <v>2051</v>
      </c>
      <c r="B53" s="425"/>
      <c r="C53" s="426" t="s">
        <v>2052</v>
      </c>
      <c r="D53" s="426" t="str">
        <f t="shared" si="0"/>
        <v>FORGIVENESS LOAN</v>
      </c>
      <c r="E53" s="426"/>
      <c r="F53" s="427">
        <v>250444.01</v>
      </c>
      <c r="G53" s="427">
        <v>0</v>
      </c>
      <c r="H53" s="427">
        <v>-17228.67</v>
      </c>
      <c r="I53" s="427">
        <v>2087.93</v>
      </c>
      <c r="J53" s="427">
        <v>0</v>
      </c>
      <c r="K53" s="427">
        <v>0</v>
      </c>
      <c r="L53" s="427">
        <f t="shared" si="1"/>
        <v>235303.27000000002</v>
      </c>
    </row>
    <row r="54" spans="1:12" s="462" customFormat="1" ht="12" customHeight="1">
      <c r="A54" s="462" t="s">
        <v>2053</v>
      </c>
      <c r="B54" s="458"/>
      <c r="C54" s="463" t="s">
        <v>2054</v>
      </c>
      <c r="D54" s="463" t="str">
        <f t="shared" si="0"/>
        <v>TOTAL RESTRICTED</v>
      </c>
      <c r="E54" s="459"/>
      <c r="F54" s="464">
        <v>11845836.350000003</v>
      </c>
      <c r="G54" s="464">
        <v>2759.71</v>
      </c>
      <c r="H54" s="464">
        <v>-537579.02</v>
      </c>
      <c r="I54" s="464">
        <v>171348.46</v>
      </c>
      <c r="J54" s="464">
        <v>52610.18</v>
      </c>
      <c r="K54" s="464">
        <v>-69331.8</v>
      </c>
      <c r="L54" s="464">
        <f t="shared" si="1"/>
        <v>11360423.520000005</v>
      </c>
    </row>
    <row r="55" spans="6:12" ht="12" customHeight="1">
      <c r="F55" s="465"/>
      <c r="G55" s="465"/>
      <c r="H55" s="465"/>
      <c r="I55" s="465"/>
      <c r="J55" s="465"/>
      <c r="K55" s="465"/>
      <c r="L55" s="465"/>
    </row>
    <row r="56" spans="2:4" ht="12.75">
      <c r="B56" s="458" t="s">
        <v>2055</v>
      </c>
      <c r="C56" s="459"/>
      <c r="D56" s="459"/>
    </row>
    <row r="57" spans="1:12" ht="12.75" outlineLevel="1">
      <c r="A57" s="424" t="s">
        <v>2056</v>
      </c>
      <c r="B57" s="425"/>
      <c r="C57" s="426" t="s">
        <v>2057</v>
      </c>
      <c r="D57" s="426" t="str">
        <f>UPPER(C57)</f>
        <v>ALLOW DBFL NOTE-NF-U</v>
      </c>
      <c r="E57" s="426"/>
      <c r="F57" s="427">
        <v>0</v>
      </c>
      <c r="G57" s="427">
        <v>0</v>
      </c>
      <c r="H57" s="427">
        <v>-3444.06</v>
      </c>
      <c r="I57" s="427">
        <v>0</v>
      </c>
      <c r="J57" s="427">
        <v>0</v>
      </c>
      <c r="K57" s="427">
        <v>0</v>
      </c>
      <c r="L57" s="427">
        <f>F57+G57+H57+I57-J57+K57</f>
        <v>-3444.06</v>
      </c>
    </row>
    <row r="58" spans="1:12" ht="12.75" outlineLevel="1">
      <c r="A58" s="424" t="s">
        <v>2058</v>
      </c>
      <c r="B58" s="425"/>
      <c r="C58" s="426" t="s">
        <v>2059</v>
      </c>
      <c r="D58" s="426" t="str">
        <f>UPPER(C58)</f>
        <v>UMR COMMEMORATIVE LN</v>
      </c>
      <c r="E58" s="426"/>
      <c r="F58" s="427">
        <v>97453.29</v>
      </c>
      <c r="G58" s="427">
        <v>0</v>
      </c>
      <c r="H58" s="427">
        <v>983.88</v>
      </c>
      <c r="I58" s="427">
        <v>3650.24</v>
      </c>
      <c r="J58" s="427">
        <v>0</v>
      </c>
      <c r="K58" s="427">
        <v>-66202.22</v>
      </c>
      <c r="L58" s="427">
        <f>F58+G58+H58+I58-J58+K58</f>
        <v>35885.19</v>
      </c>
    </row>
    <row r="59" spans="1:12" ht="12.75" outlineLevel="1">
      <c r="A59" s="424" t="s">
        <v>2060</v>
      </c>
      <c r="B59" s="425"/>
      <c r="C59" s="426" t="s">
        <v>2061</v>
      </c>
      <c r="D59" s="426" t="str">
        <f>UPPER(C59)</f>
        <v>LOAN PAYTS SUSPENSE</v>
      </c>
      <c r="E59" s="426"/>
      <c r="F59" s="427">
        <v>-337.7</v>
      </c>
      <c r="G59" s="427">
        <v>0</v>
      </c>
      <c r="H59" s="427">
        <v>0</v>
      </c>
      <c r="I59" s="427">
        <v>-794.68</v>
      </c>
      <c r="J59" s="427">
        <v>0</v>
      </c>
      <c r="K59" s="427">
        <v>0</v>
      </c>
      <c r="L59" s="427">
        <f>F59+G59+H59+I59-J59+K59</f>
        <v>-1132.3799999999999</v>
      </c>
    </row>
    <row r="60" spans="1:12" s="462" customFormat="1" ht="12.75">
      <c r="A60" s="462" t="s">
        <v>2062</v>
      </c>
      <c r="B60" s="458"/>
      <c r="C60" s="463" t="s">
        <v>2063</v>
      </c>
      <c r="D60" s="463" t="str">
        <f>UPPER(C60)</f>
        <v>TOTAL UNRESTRICTED</v>
      </c>
      <c r="E60" s="459"/>
      <c r="F60" s="466">
        <v>97115.59</v>
      </c>
      <c r="G60" s="466">
        <v>0</v>
      </c>
      <c r="H60" s="466">
        <v>-2460.18</v>
      </c>
      <c r="I60" s="466">
        <v>2855.56</v>
      </c>
      <c r="J60" s="466">
        <v>0</v>
      </c>
      <c r="K60" s="466">
        <v>-66202.22</v>
      </c>
      <c r="L60" s="466">
        <f>F60+G60+H60+I60-J60+K60</f>
        <v>31308.75</v>
      </c>
    </row>
    <row r="62" spans="2:12" s="467" customFormat="1" ht="12.75">
      <c r="B62" s="468"/>
      <c r="C62" s="469" t="s">
        <v>2064</v>
      </c>
      <c r="D62" s="469" t="s">
        <v>2065</v>
      </c>
      <c r="E62" s="469"/>
      <c r="F62" s="470">
        <f aca="true" t="shared" si="2" ref="F62:L62">F54+F60</f>
        <v>11942951.940000003</v>
      </c>
      <c r="G62" s="470">
        <f t="shared" si="2"/>
        <v>2759.71</v>
      </c>
      <c r="H62" s="470">
        <f t="shared" si="2"/>
        <v>-540039.2000000001</v>
      </c>
      <c r="I62" s="470">
        <f t="shared" si="2"/>
        <v>174204.02</v>
      </c>
      <c r="J62" s="470">
        <f t="shared" si="2"/>
        <v>52610.18</v>
      </c>
      <c r="K62" s="470">
        <f t="shared" si="2"/>
        <v>-135534.02000000002</v>
      </c>
      <c r="L62" s="470">
        <f t="shared" si="2"/>
        <v>11391732.270000005</v>
      </c>
    </row>
  </sheetData>
  <printOptions horizontalCentered="1"/>
  <pageMargins left="0.5" right="0.5" top="0.75" bottom="0.5" header="0.5" footer="0.25"/>
  <pageSetup horizontalDpi="600" verticalDpi="600" orientation="landscape" scale="75" r:id="rId1"/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6"/>
  <sheetViews>
    <sheetView workbookViewId="0" topLeftCell="B495">
      <selection activeCell="I500" sqref="I500"/>
    </sheetView>
  </sheetViews>
  <sheetFormatPr defaultColWidth="9.140625" defaultRowHeight="12.75" outlineLevelRow="1"/>
  <cols>
    <col min="1" max="1" width="0" style="424" hidden="1" customWidth="1"/>
    <col min="2" max="2" width="2.7109375" style="438" customWidth="1"/>
    <col min="3" max="4" width="2.7109375" style="460" customWidth="1"/>
    <col min="5" max="5" width="43.28125" style="460" hidden="1" customWidth="1"/>
    <col min="6" max="6" width="60.7109375" style="445" customWidth="1"/>
    <col min="7" max="7" width="14.7109375" style="521" customWidth="1"/>
    <col min="8" max="13" width="14.7109375" style="474" customWidth="1"/>
    <col min="14" max="14" width="11.57421875" style="475" hidden="1" customWidth="1"/>
    <col min="15" max="15" width="9.140625" style="445" hidden="1" customWidth="1"/>
    <col min="16" max="17" width="9.140625" style="424" customWidth="1"/>
    <col min="18" max="18" width="9.140625" style="424" hidden="1" customWidth="1"/>
    <col min="19" max="16384" width="9.140625" style="424" customWidth="1"/>
  </cols>
  <sheetData>
    <row r="1" spans="1:13" ht="12.75" hidden="1">
      <c r="A1" s="424" t="s">
        <v>2593</v>
      </c>
      <c r="B1" s="438" t="s">
        <v>2792</v>
      </c>
      <c r="C1" s="471"/>
      <c r="D1" s="471"/>
      <c r="E1" s="460" t="s">
        <v>2066</v>
      </c>
      <c r="F1" s="472" t="s">
        <v>2794</v>
      </c>
      <c r="G1" s="473" t="s">
        <v>1945</v>
      </c>
      <c r="H1" s="474" t="s">
        <v>2067</v>
      </c>
      <c r="I1" s="474" t="s">
        <v>2068</v>
      </c>
      <c r="J1" s="474" t="s">
        <v>2069</v>
      </c>
      <c r="K1" s="474" t="s">
        <v>2070</v>
      </c>
      <c r="L1" s="474" t="s">
        <v>1950</v>
      </c>
      <c r="M1" s="474" t="s">
        <v>2794</v>
      </c>
    </row>
    <row r="2" spans="2:18" s="476" customFormat="1" ht="15.75" customHeight="1">
      <c r="B2" s="429" t="str">
        <f>"University of Missouri - "&amp;RBN</f>
        <v>University of Missouri - Rolla</v>
      </c>
      <c r="C2" s="477"/>
      <c r="D2" s="477"/>
      <c r="E2" s="478"/>
      <c r="F2" s="125"/>
      <c r="G2" s="479"/>
      <c r="H2" s="480"/>
      <c r="I2" s="481"/>
      <c r="J2" s="480"/>
      <c r="K2" s="482"/>
      <c r="L2" s="480"/>
      <c r="M2" s="483"/>
      <c r="N2" s="484"/>
      <c r="O2" s="485" t="s">
        <v>118</v>
      </c>
      <c r="R2" s="486" t="s">
        <v>2597</v>
      </c>
    </row>
    <row r="3" spans="2:18" s="437" customFormat="1" ht="15.75" customHeight="1">
      <c r="B3" s="439" t="s">
        <v>2071</v>
      </c>
      <c r="C3" s="487"/>
      <c r="D3" s="487"/>
      <c r="E3" s="488"/>
      <c r="F3" s="129"/>
      <c r="G3" s="489"/>
      <c r="H3" s="490"/>
      <c r="I3" s="491"/>
      <c r="J3" s="492"/>
      <c r="K3" s="490"/>
      <c r="L3" s="490"/>
      <c r="M3" s="493"/>
      <c r="N3" s="494"/>
      <c r="O3" s="435"/>
      <c r="R3" s="436" t="s">
        <v>2072</v>
      </c>
    </row>
    <row r="4" spans="2:18" ht="15.75" customHeight="1">
      <c r="B4" s="447" t="str">
        <f>"As of "&amp;TEXT(R4,"MMMM DD, YYYY")</f>
        <v>As of June 30, 2006</v>
      </c>
      <c r="C4" s="441"/>
      <c r="D4" s="441"/>
      <c r="E4" s="442"/>
      <c r="F4" s="135"/>
      <c r="G4" s="489"/>
      <c r="H4" s="490"/>
      <c r="I4" s="490"/>
      <c r="J4" s="490"/>
      <c r="K4" s="490"/>
      <c r="L4" s="490"/>
      <c r="M4" s="493"/>
      <c r="R4" s="446" t="s">
        <v>117</v>
      </c>
    </row>
    <row r="5" spans="2:18" ht="12.75" customHeight="1">
      <c r="B5" s="495"/>
      <c r="C5" s="496"/>
      <c r="D5" s="496"/>
      <c r="E5" s="497"/>
      <c r="F5" s="142"/>
      <c r="G5" s="498"/>
      <c r="H5" s="499"/>
      <c r="I5" s="499"/>
      <c r="J5" s="499"/>
      <c r="K5" s="499"/>
      <c r="L5" s="499"/>
      <c r="M5" s="500"/>
      <c r="N5" s="501"/>
      <c r="R5" s="446" t="s">
        <v>2634</v>
      </c>
    </row>
    <row r="6" spans="2:15" s="502" customFormat="1" ht="15" customHeight="1">
      <c r="B6" s="503"/>
      <c r="C6" s="504"/>
      <c r="D6" s="504"/>
      <c r="E6" s="504"/>
      <c r="F6" s="504"/>
      <c r="G6" s="505"/>
      <c r="H6" s="505" t="s">
        <v>2073</v>
      </c>
      <c r="I6" s="505" t="s">
        <v>2074</v>
      </c>
      <c r="J6" s="505" t="s">
        <v>2075</v>
      </c>
      <c r="K6" s="505"/>
      <c r="L6" s="505"/>
      <c r="M6" s="505"/>
      <c r="N6" s="506"/>
      <c r="O6" s="507"/>
    </row>
    <row r="7" spans="2:15" s="502" customFormat="1" ht="12" customHeight="1">
      <c r="B7" s="508"/>
      <c r="C7" s="506"/>
      <c r="D7" s="506"/>
      <c r="E7" s="506"/>
      <c r="F7" s="506"/>
      <c r="G7" s="509" t="s">
        <v>1953</v>
      </c>
      <c r="H7" s="509" t="s">
        <v>2076</v>
      </c>
      <c r="I7" s="509" t="s">
        <v>2077</v>
      </c>
      <c r="J7" s="509" t="s">
        <v>2078</v>
      </c>
      <c r="K7" s="509"/>
      <c r="L7" s="509" t="s">
        <v>2079</v>
      </c>
      <c r="M7" s="509" t="s">
        <v>2080</v>
      </c>
      <c r="N7" s="506"/>
      <c r="O7" s="507"/>
    </row>
    <row r="8" spans="2:15" s="502" customFormat="1" ht="12" customHeight="1">
      <c r="B8" s="510"/>
      <c r="C8" s="511"/>
      <c r="D8" s="511"/>
      <c r="E8" s="511"/>
      <c r="F8" s="511"/>
      <c r="G8" s="512" t="str">
        <f>"July 1, "&amp;(R5-1)</f>
        <v>July 1, 2005</v>
      </c>
      <c r="H8" s="512" t="s">
        <v>2081</v>
      </c>
      <c r="I8" s="512" t="s">
        <v>2082</v>
      </c>
      <c r="J8" s="512" t="s">
        <v>2083</v>
      </c>
      <c r="K8" s="512" t="s">
        <v>1960</v>
      </c>
      <c r="L8" s="512" t="s">
        <v>2084</v>
      </c>
      <c r="M8" s="512" t="str">
        <f>TEXT(R4,"MMMM DD, YYYY")</f>
        <v>June 30, 2006</v>
      </c>
      <c r="N8" s="506"/>
      <c r="O8" s="507"/>
    </row>
    <row r="9" spans="2:15" s="513" customFormat="1" ht="12.75" customHeight="1">
      <c r="B9" s="514" t="s">
        <v>2085</v>
      </c>
      <c r="C9" s="515"/>
      <c r="D9" s="515"/>
      <c r="E9" s="516"/>
      <c r="F9" s="517"/>
      <c r="G9" s="518"/>
      <c r="H9" s="519"/>
      <c r="I9" s="519"/>
      <c r="J9" s="519"/>
      <c r="K9" s="519"/>
      <c r="L9" s="519"/>
      <c r="M9" s="519"/>
      <c r="N9" s="520"/>
      <c r="O9" s="517"/>
    </row>
    <row r="10" spans="3:4" ht="12.75" customHeight="1">
      <c r="C10" s="459" t="s">
        <v>2086</v>
      </c>
      <c r="D10" s="459"/>
    </row>
    <row r="11" spans="1:13" ht="12.75" outlineLevel="1">
      <c r="A11" s="424" t="s">
        <v>2087</v>
      </c>
      <c r="C11" s="471"/>
      <c r="D11" s="471"/>
      <c r="E11" s="460" t="s">
        <v>2088</v>
      </c>
      <c r="F11" s="472" t="str">
        <f aca="true" t="shared" si="0" ref="F11:F74">UPPER(E11)</f>
        <v>ABBETT SCHP</v>
      </c>
      <c r="G11" s="522">
        <v>1173863.49</v>
      </c>
      <c r="H11" s="523">
        <v>330259.06</v>
      </c>
      <c r="I11" s="523">
        <v>-27118.76</v>
      </c>
      <c r="J11" s="523">
        <v>130749.08</v>
      </c>
      <c r="K11" s="523">
        <v>0</v>
      </c>
      <c r="L11" s="523">
        <v>-1566035.87</v>
      </c>
      <c r="M11" s="523">
        <f aca="true" t="shared" si="1" ref="M11:M74">G11+H11+I11+J11-K11+L11</f>
        <v>41717</v>
      </c>
    </row>
    <row r="12" spans="1:13" ht="12.75" outlineLevel="1">
      <c r="A12" s="424" t="s">
        <v>2089</v>
      </c>
      <c r="C12" s="471"/>
      <c r="D12" s="471"/>
      <c r="E12" s="460" t="s">
        <v>2090</v>
      </c>
      <c r="F12" s="472" t="str">
        <f t="shared" si="0"/>
        <v>AEROSPACE ENG SCHP</v>
      </c>
      <c r="G12" s="473">
        <v>29639.51</v>
      </c>
      <c r="H12" s="474">
        <v>0</v>
      </c>
      <c r="I12" s="474">
        <v>400.89</v>
      </c>
      <c r="J12" s="474">
        <v>-1232.37</v>
      </c>
      <c r="K12" s="474">
        <v>0</v>
      </c>
      <c r="L12" s="474">
        <v>0</v>
      </c>
      <c r="M12" s="474">
        <f t="shared" si="1"/>
        <v>28808.03</v>
      </c>
    </row>
    <row r="13" spans="1:13" ht="12.75" outlineLevel="1">
      <c r="A13" s="424" t="s">
        <v>2091</v>
      </c>
      <c r="C13" s="471"/>
      <c r="D13" s="471"/>
      <c r="E13" s="460" t="s">
        <v>2092</v>
      </c>
      <c r="F13" s="472" t="str">
        <f t="shared" si="0"/>
        <v>ALL AMER SWIM SCHP</v>
      </c>
      <c r="G13" s="473">
        <v>53126.44</v>
      </c>
      <c r="H13" s="474">
        <v>137.5</v>
      </c>
      <c r="I13" s="474">
        <v>-636.13</v>
      </c>
      <c r="J13" s="474">
        <v>5221.69</v>
      </c>
      <c r="K13" s="474">
        <v>0</v>
      </c>
      <c r="L13" s="474">
        <v>0</v>
      </c>
      <c r="M13" s="474">
        <f t="shared" si="1"/>
        <v>57849.50000000001</v>
      </c>
    </row>
    <row r="14" spans="1:13" ht="12.75" outlineLevel="1">
      <c r="A14" s="424" t="s">
        <v>2093</v>
      </c>
      <c r="C14" s="471"/>
      <c r="D14" s="471"/>
      <c r="E14" s="460" t="s">
        <v>2094</v>
      </c>
      <c r="F14" s="472" t="str">
        <f t="shared" si="0"/>
        <v>ALLIED SIGNAL FUND</v>
      </c>
      <c r="G14" s="473">
        <v>90385.43</v>
      </c>
      <c r="H14" s="474">
        <v>0</v>
      </c>
      <c r="I14" s="474">
        <v>-1738.68</v>
      </c>
      <c r="J14" s="474">
        <v>8803.79</v>
      </c>
      <c r="K14" s="474">
        <v>0</v>
      </c>
      <c r="L14" s="474">
        <v>0</v>
      </c>
      <c r="M14" s="474">
        <f t="shared" si="1"/>
        <v>97450.54000000001</v>
      </c>
    </row>
    <row r="15" spans="1:13" ht="12.75" outlineLevel="1">
      <c r="A15" s="424" t="s">
        <v>2095</v>
      </c>
      <c r="C15" s="471"/>
      <c r="D15" s="471"/>
      <c r="E15" s="460" t="s">
        <v>2096</v>
      </c>
      <c r="F15" s="472" t="str">
        <f t="shared" si="0"/>
        <v>ALUMNI-FAC-FRIENDS</v>
      </c>
      <c r="G15" s="473">
        <v>19481.61</v>
      </c>
      <c r="H15" s="474">
        <v>0</v>
      </c>
      <c r="I15" s="474">
        <v>-374.78</v>
      </c>
      <c r="J15" s="474">
        <v>1897.57</v>
      </c>
      <c r="K15" s="474">
        <v>0</v>
      </c>
      <c r="L15" s="474">
        <v>0</v>
      </c>
      <c r="M15" s="474">
        <f t="shared" si="1"/>
        <v>21004.4</v>
      </c>
    </row>
    <row r="16" spans="1:13" ht="12.75" outlineLevel="1">
      <c r="A16" s="424" t="s">
        <v>2097</v>
      </c>
      <c r="C16" s="471"/>
      <c r="D16" s="471"/>
      <c r="E16" s="460" t="s">
        <v>2098</v>
      </c>
      <c r="F16" s="472" t="str">
        <f t="shared" si="0"/>
        <v>MCCRAE-ANDERSON-ROTH</v>
      </c>
      <c r="G16" s="473">
        <v>53772.17</v>
      </c>
      <c r="H16" s="474">
        <v>0</v>
      </c>
      <c r="I16" s="474">
        <v>2961.68</v>
      </c>
      <c r="J16" s="474">
        <v>-2268.41</v>
      </c>
      <c r="K16" s="474">
        <v>0</v>
      </c>
      <c r="L16" s="474">
        <v>0</v>
      </c>
      <c r="M16" s="474">
        <f t="shared" si="1"/>
        <v>54465.44</v>
      </c>
    </row>
    <row r="17" spans="1:13" ht="12.75" outlineLevel="1">
      <c r="A17" s="424" t="s">
        <v>2099</v>
      </c>
      <c r="C17" s="471"/>
      <c r="D17" s="471"/>
      <c r="E17" s="460" t="s">
        <v>2100</v>
      </c>
      <c r="F17" s="472" t="str">
        <f t="shared" si="0"/>
        <v>J B ARTHUR SCHP</v>
      </c>
      <c r="G17" s="473">
        <v>655455.68</v>
      </c>
      <c r="H17" s="474">
        <v>20042</v>
      </c>
      <c r="I17" s="474">
        <v>2944.71</v>
      </c>
      <c r="J17" s="474">
        <v>-22866.81</v>
      </c>
      <c r="K17" s="474">
        <v>0</v>
      </c>
      <c r="L17" s="474">
        <v>8031.91</v>
      </c>
      <c r="M17" s="474">
        <f t="shared" si="1"/>
        <v>663607.49</v>
      </c>
    </row>
    <row r="18" spans="1:13" ht="12.75" outlineLevel="1">
      <c r="A18" s="424" t="s">
        <v>2101</v>
      </c>
      <c r="C18" s="471"/>
      <c r="D18" s="471"/>
      <c r="E18" s="460" t="s">
        <v>2102</v>
      </c>
      <c r="F18" s="472" t="str">
        <f t="shared" si="0"/>
        <v>ASARCO FDN SCHP</v>
      </c>
      <c r="G18" s="473">
        <v>180142.55</v>
      </c>
      <c r="H18" s="474">
        <v>0</v>
      </c>
      <c r="I18" s="474">
        <v>-3465.32</v>
      </c>
      <c r="J18" s="474">
        <v>17546.4</v>
      </c>
      <c r="K18" s="474">
        <v>0</v>
      </c>
      <c r="L18" s="474">
        <v>0</v>
      </c>
      <c r="M18" s="474">
        <f t="shared" si="1"/>
        <v>194223.62999999998</v>
      </c>
    </row>
    <row r="19" spans="1:13" ht="12.75" outlineLevel="1">
      <c r="A19" s="424" t="s">
        <v>2103</v>
      </c>
      <c r="C19" s="471"/>
      <c r="D19" s="471"/>
      <c r="E19" s="460" t="s">
        <v>2104</v>
      </c>
      <c r="F19" s="472" t="str">
        <f t="shared" si="0"/>
        <v>AT&amp;T MINORITY SCH</v>
      </c>
      <c r="G19" s="473">
        <v>18565.34</v>
      </c>
      <c r="H19" s="474">
        <v>0</v>
      </c>
      <c r="I19" s="474">
        <v>-357.13</v>
      </c>
      <c r="J19" s="474">
        <v>1808.32</v>
      </c>
      <c r="K19" s="474">
        <v>0</v>
      </c>
      <c r="L19" s="474">
        <v>0</v>
      </c>
      <c r="M19" s="474">
        <f t="shared" si="1"/>
        <v>20016.53</v>
      </c>
    </row>
    <row r="20" spans="1:13" ht="12.75" outlineLevel="1">
      <c r="A20" s="424" t="s">
        <v>2105</v>
      </c>
      <c r="C20" s="471"/>
      <c r="D20" s="471"/>
      <c r="E20" s="460" t="s">
        <v>2106</v>
      </c>
      <c r="F20" s="472" t="str">
        <f t="shared" si="0"/>
        <v>R L BANKS END SCHP</v>
      </c>
      <c r="G20" s="473">
        <v>90605.68</v>
      </c>
      <c r="H20" s="474">
        <v>0</v>
      </c>
      <c r="I20" s="474">
        <v>-1742.95</v>
      </c>
      <c r="J20" s="474">
        <v>8825.24</v>
      </c>
      <c r="K20" s="474">
        <v>0</v>
      </c>
      <c r="L20" s="474">
        <v>0</v>
      </c>
      <c r="M20" s="474">
        <f t="shared" si="1"/>
        <v>97687.97</v>
      </c>
    </row>
    <row r="21" spans="1:13" ht="12.75" outlineLevel="1">
      <c r="A21" s="424" t="s">
        <v>2107</v>
      </c>
      <c r="C21" s="471"/>
      <c r="D21" s="471"/>
      <c r="E21" s="460" t="s">
        <v>2108</v>
      </c>
      <c r="F21" s="472" t="str">
        <f t="shared" si="0"/>
        <v>BALEY SCHOLARS END</v>
      </c>
      <c r="G21" s="473">
        <v>1316352.26</v>
      </c>
      <c r="H21" s="474">
        <v>0</v>
      </c>
      <c r="I21" s="474">
        <v>-25322.04</v>
      </c>
      <c r="J21" s="474">
        <v>128216.52</v>
      </c>
      <c r="K21" s="474">
        <v>0</v>
      </c>
      <c r="L21" s="474">
        <v>0</v>
      </c>
      <c r="M21" s="474">
        <f t="shared" si="1"/>
        <v>1419246.74</v>
      </c>
    </row>
    <row r="22" spans="1:13" ht="12.75" outlineLevel="1">
      <c r="A22" s="424" t="s">
        <v>2109</v>
      </c>
      <c r="C22" s="471"/>
      <c r="D22" s="471"/>
      <c r="E22" s="460" t="s">
        <v>2110</v>
      </c>
      <c r="F22" s="472" t="str">
        <f t="shared" si="0"/>
        <v>BARRETT MEM SCHP</v>
      </c>
      <c r="G22" s="473">
        <v>129236.96</v>
      </c>
      <c r="H22" s="474">
        <v>0</v>
      </c>
      <c r="I22" s="474">
        <v>-2486.07</v>
      </c>
      <c r="J22" s="474">
        <v>12588.06</v>
      </c>
      <c r="K22" s="474">
        <v>0</v>
      </c>
      <c r="L22" s="474">
        <v>0</v>
      </c>
      <c r="M22" s="474">
        <f t="shared" si="1"/>
        <v>139338.95</v>
      </c>
    </row>
    <row r="23" spans="1:13" ht="12.75" outlineLevel="1">
      <c r="A23" s="424" t="s">
        <v>2111</v>
      </c>
      <c r="C23" s="471"/>
      <c r="D23" s="471"/>
      <c r="E23" s="460" t="s">
        <v>2112</v>
      </c>
      <c r="F23" s="472" t="str">
        <f t="shared" si="0"/>
        <v>BASLER SCHP FD</v>
      </c>
      <c r="G23" s="473">
        <v>95080.09</v>
      </c>
      <c r="H23" s="474">
        <v>0</v>
      </c>
      <c r="I23" s="474">
        <v>0</v>
      </c>
      <c r="J23" s="474">
        <v>-3992.85</v>
      </c>
      <c r="K23" s="474">
        <v>0</v>
      </c>
      <c r="L23" s="474">
        <v>0</v>
      </c>
      <c r="M23" s="474">
        <f t="shared" si="1"/>
        <v>91087.23999999999</v>
      </c>
    </row>
    <row r="24" spans="1:13" ht="12.75" outlineLevel="1">
      <c r="A24" s="424" t="s">
        <v>2113</v>
      </c>
      <c r="C24" s="471"/>
      <c r="D24" s="471"/>
      <c r="E24" s="460" t="s">
        <v>2114</v>
      </c>
      <c r="F24" s="472" t="str">
        <f t="shared" si="0"/>
        <v>BIRBECK END SCHOL</v>
      </c>
      <c r="G24" s="473">
        <v>263438.98</v>
      </c>
      <c r="H24" s="474">
        <v>0</v>
      </c>
      <c r="I24" s="474">
        <v>-5067.67</v>
      </c>
      <c r="J24" s="474">
        <v>25659.72</v>
      </c>
      <c r="K24" s="474">
        <v>0</v>
      </c>
      <c r="L24" s="474">
        <v>0</v>
      </c>
      <c r="M24" s="474">
        <f t="shared" si="1"/>
        <v>284031.02999999997</v>
      </c>
    </row>
    <row r="25" spans="1:13" ht="12.75" outlineLevel="1">
      <c r="A25" s="424" t="s">
        <v>2115</v>
      </c>
      <c r="C25" s="471"/>
      <c r="D25" s="471"/>
      <c r="E25" s="460" t="s">
        <v>2116</v>
      </c>
      <c r="F25" s="472" t="str">
        <f t="shared" si="0"/>
        <v>BELLIS SCHOLARSHIP</v>
      </c>
      <c r="G25" s="473">
        <v>455604.8</v>
      </c>
      <c r="H25" s="474">
        <v>0</v>
      </c>
      <c r="I25" s="474">
        <v>-8764.26</v>
      </c>
      <c r="J25" s="474">
        <v>44377.22</v>
      </c>
      <c r="K25" s="474">
        <v>0</v>
      </c>
      <c r="L25" s="474">
        <v>0</v>
      </c>
      <c r="M25" s="474">
        <f t="shared" si="1"/>
        <v>491217.76</v>
      </c>
    </row>
    <row r="26" spans="1:13" ht="12.75" outlineLevel="1">
      <c r="A26" s="424" t="s">
        <v>2117</v>
      </c>
      <c r="C26" s="471"/>
      <c r="D26" s="471"/>
      <c r="E26" s="460" t="s">
        <v>2118</v>
      </c>
      <c r="F26" s="472" t="str">
        <f t="shared" si="0"/>
        <v>BODINE MEM SCHP</v>
      </c>
      <c r="G26" s="473">
        <v>74460.53</v>
      </c>
      <c r="H26" s="474">
        <v>0</v>
      </c>
      <c r="I26" s="474">
        <v>-1432.34</v>
      </c>
      <c r="J26" s="474">
        <v>7252.66</v>
      </c>
      <c r="K26" s="474">
        <v>0</v>
      </c>
      <c r="L26" s="474">
        <v>0</v>
      </c>
      <c r="M26" s="474">
        <f t="shared" si="1"/>
        <v>80280.85</v>
      </c>
    </row>
    <row r="27" spans="1:13" ht="12.75" outlineLevel="1">
      <c r="A27" s="424" t="s">
        <v>2119</v>
      </c>
      <c r="C27" s="471"/>
      <c r="D27" s="471"/>
      <c r="E27" s="460" t="s">
        <v>2120</v>
      </c>
      <c r="F27" s="472" t="str">
        <f t="shared" si="0"/>
        <v>BOSCH END SCHP</v>
      </c>
      <c r="G27" s="473">
        <v>458486.31</v>
      </c>
      <c r="H27" s="474">
        <v>0</v>
      </c>
      <c r="I27" s="474">
        <v>-8513.23</v>
      </c>
      <c r="J27" s="474">
        <v>45218.01</v>
      </c>
      <c r="K27" s="474">
        <v>108.5</v>
      </c>
      <c r="L27" s="474">
        <v>11646.41</v>
      </c>
      <c r="M27" s="474">
        <f t="shared" si="1"/>
        <v>506729</v>
      </c>
    </row>
    <row r="28" spans="1:13" ht="12.75" outlineLevel="1">
      <c r="A28" s="424" t="s">
        <v>2121</v>
      </c>
      <c r="C28" s="471"/>
      <c r="D28" s="471"/>
      <c r="E28" s="460" t="s">
        <v>2122</v>
      </c>
      <c r="F28" s="472" t="str">
        <f t="shared" si="0"/>
        <v>BISHOP SCHOLARSHIP</v>
      </c>
      <c r="G28" s="473">
        <v>29090.85</v>
      </c>
      <c r="H28" s="474">
        <v>100</v>
      </c>
      <c r="I28" s="474">
        <v>-556.32</v>
      </c>
      <c r="J28" s="474">
        <v>2840.24</v>
      </c>
      <c r="K28" s="474">
        <v>0</v>
      </c>
      <c r="L28" s="474">
        <v>0</v>
      </c>
      <c r="M28" s="474">
        <f t="shared" si="1"/>
        <v>31474.769999999997</v>
      </c>
    </row>
    <row r="29" spans="1:13" ht="12.75" outlineLevel="1">
      <c r="A29" s="424" t="s">
        <v>2123</v>
      </c>
      <c r="C29" s="471"/>
      <c r="D29" s="471"/>
      <c r="E29" s="460" t="s">
        <v>2124</v>
      </c>
      <c r="F29" s="472" t="str">
        <f t="shared" si="0"/>
        <v>BOYD/WATTS SCHP</v>
      </c>
      <c r="G29" s="473">
        <v>575966.32</v>
      </c>
      <c r="H29" s="474">
        <v>0</v>
      </c>
      <c r="I29" s="474">
        <v>-10842.16</v>
      </c>
      <c r="J29" s="474">
        <v>55973.88</v>
      </c>
      <c r="K29" s="474">
        <v>0</v>
      </c>
      <c r="L29" s="474">
        <v>3654</v>
      </c>
      <c r="M29" s="474">
        <f t="shared" si="1"/>
        <v>624752.0399999999</v>
      </c>
    </row>
    <row r="30" spans="1:13" ht="12.75" outlineLevel="1">
      <c r="A30" s="424" t="s">
        <v>2125</v>
      </c>
      <c r="C30" s="471"/>
      <c r="D30" s="471"/>
      <c r="E30" s="460" t="s">
        <v>2126</v>
      </c>
      <c r="F30" s="472" t="str">
        <f t="shared" si="0"/>
        <v>W R BROADDUS SCHP</v>
      </c>
      <c r="G30" s="473">
        <v>5721.09</v>
      </c>
      <c r="H30" s="474">
        <v>0</v>
      </c>
      <c r="I30" s="474">
        <v>0</v>
      </c>
      <c r="J30" s="474">
        <v>-240.26</v>
      </c>
      <c r="K30" s="474">
        <v>0</v>
      </c>
      <c r="L30" s="474">
        <v>0</v>
      </c>
      <c r="M30" s="474">
        <f t="shared" si="1"/>
        <v>5480.83</v>
      </c>
    </row>
    <row r="31" spans="1:13" ht="12.75" outlineLevel="1">
      <c r="A31" s="424" t="s">
        <v>2127</v>
      </c>
      <c r="C31" s="471"/>
      <c r="D31" s="471"/>
      <c r="E31" s="460" t="s">
        <v>2128</v>
      </c>
      <c r="F31" s="472" t="str">
        <f t="shared" si="0"/>
        <v>BUDACK SCHP ENGR</v>
      </c>
      <c r="G31" s="473">
        <v>122203.86</v>
      </c>
      <c r="H31" s="474">
        <v>0</v>
      </c>
      <c r="I31" s="474">
        <v>-2350.77</v>
      </c>
      <c r="J31" s="474">
        <v>11902.99</v>
      </c>
      <c r="K31" s="474">
        <v>0</v>
      </c>
      <c r="L31" s="474">
        <v>0</v>
      </c>
      <c r="M31" s="474">
        <f t="shared" si="1"/>
        <v>131756.08</v>
      </c>
    </row>
    <row r="32" spans="1:13" ht="12.75" outlineLevel="1">
      <c r="A32" s="424" t="s">
        <v>2129</v>
      </c>
      <c r="C32" s="471"/>
      <c r="D32" s="471"/>
      <c r="E32" s="460" t="s">
        <v>2130</v>
      </c>
      <c r="F32" s="472" t="str">
        <f t="shared" si="0"/>
        <v>N LES CLARK END SCHP</v>
      </c>
      <c r="G32" s="473">
        <v>26294.02</v>
      </c>
      <c r="H32" s="474">
        <v>0</v>
      </c>
      <c r="I32" s="474">
        <v>-505.82</v>
      </c>
      <c r="J32" s="474">
        <v>2561.11</v>
      </c>
      <c r="K32" s="474">
        <v>0</v>
      </c>
      <c r="L32" s="474">
        <v>0</v>
      </c>
      <c r="M32" s="474">
        <f t="shared" si="1"/>
        <v>28349.31</v>
      </c>
    </row>
    <row r="33" spans="1:13" ht="12.75" outlineLevel="1">
      <c r="A33" s="424" t="s">
        <v>2131</v>
      </c>
      <c r="C33" s="471"/>
      <c r="D33" s="471"/>
      <c r="E33" s="460" t="s">
        <v>2132</v>
      </c>
      <c r="F33" s="472" t="str">
        <f t="shared" si="0"/>
        <v>CASTLEMAN MEM SCHP</v>
      </c>
      <c r="G33" s="473">
        <v>25981.99</v>
      </c>
      <c r="H33" s="474">
        <v>0</v>
      </c>
      <c r="I33" s="474">
        <v>351.42</v>
      </c>
      <c r="J33" s="474">
        <v>-1080.29</v>
      </c>
      <c r="K33" s="474">
        <v>0</v>
      </c>
      <c r="L33" s="474">
        <v>0</v>
      </c>
      <c r="M33" s="474">
        <f t="shared" si="1"/>
        <v>25253.12</v>
      </c>
    </row>
    <row r="34" spans="1:13" ht="12.75" outlineLevel="1">
      <c r="A34" s="424" t="s">
        <v>2133</v>
      </c>
      <c r="C34" s="471"/>
      <c r="D34" s="471"/>
      <c r="E34" s="460" t="s">
        <v>2134</v>
      </c>
      <c r="F34" s="472" t="str">
        <f t="shared" si="0"/>
        <v>CERAMIC ENG END SCH</v>
      </c>
      <c r="G34" s="473">
        <v>158216.91</v>
      </c>
      <c r="H34" s="474">
        <v>0</v>
      </c>
      <c r="I34" s="474">
        <v>-3036.3</v>
      </c>
      <c r="J34" s="474">
        <v>15409.69</v>
      </c>
      <c r="K34" s="474">
        <v>0</v>
      </c>
      <c r="L34" s="474">
        <v>0</v>
      </c>
      <c r="M34" s="474">
        <f t="shared" si="1"/>
        <v>170590.30000000002</v>
      </c>
    </row>
    <row r="35" spans="1:13" ht="12.75" outlineLevel="1">
      <c r="A35" s="424" t="s">
        <v>2135</v>
      </c>
      <c r="C35" s="471"/>
      <c r="D35" s="471"/>
      <c r="E35" s="460" t="s">
        <v>2136</v>
      </c>
      <c r="F35" s="472" t="str">
        <f t="shared" si="0"/>
        <v>CHRISTIAN ACH AWD-CE</v>
      </c>
      <c r="G35" s="473">
        <v>42646.91</v>
      </c>
      <c r="H35" s="474">
        <v>0</v>
      </c>
      <c r="I35" s="474">
        <v>-820.38</v>
      </c>
      <c r="J35" s="474">
        <v>4153.91</v>
      </c>
      <c r="K35" s="474">
        <v>0</v>
      </c>
      <c r="L35" s="474">
        <v>0</v>
      </c>
      <c r="M35" s="474">
        <f t="shared" si="1"/>
        <v>45980.44</v>
      </c>
    </row>
    <row r="36" spans="1:13" ht="12.75" outlineLevel="1">
      <c r="A36" s="424" t="s">
        <v>2137</v>
      </c>
      <c r="C36" s="471"/>
      <c r="D36" s="471"/>
      <c r="E36" s="460" t="s">
        <v>2138</v>
      </c>
      <c r="F36" s="472" t="str">
        <f t="shared" si="0"/>
        <v>CHUBB FELLOWSHIP</v>
      </c>
      <c r="G36" s="473">
        <v>224129.71</v>
      </c>
      <c r="H36" s="474">
        <v>0</v>
      </c>
      <c r="I36" s="474">
        <v>-4311.48</v>
      </c>
      <c r="J36" s="474">
        <v>21830.89</v>
      </c>
      <c r="K36" s="474">
        <v>0</v>
      </c>
      <c r="L36" s="474">
        <v>0</v>
      </c>
      <c r="M36" s="474">
        <f t="shared" si="1"/>
        <v>241649.12</v>
      </c>
    </row>
    <row r="37" spans="1:13" ht="12.75" outlineLevel="1">
      <c r="A37" s="424" t="s">
        <v>2139</v>
      </c>
      <c r="C37" s="471"/>
      <c r="D37" s="471"/>
      <c r="E37" s="460" t="s">
        <v>2140</v>
      </c>
      <c r="F37" s="472" t="str">
        <f t="shared" si="0"/>
        <v>CHAO SCHP/FELLOWSHIP</v>
      </c>
      <c r="G37" s="473">
        <v>221832.4</v>
      </c>
      <c r="H37" s="474">
        <v>50000</v>
      </c>
      <c r="I37" s="474">
        <v>-2178.29</v>
      </c>
      <c r="J37" s="474">
        <v>23382.56</v>
      </c>
      <c r="K37" s="474">
        <v>0</v>
      </c>
      <c r="L37" s="474">
        <v>0</v>
      </c>
      <c r="M37" s="474">
        <f t="shared" si="1"/>
        <v>293036.67000000004</v>
      </c>
    </row>
    <row r="38" spans="1:13" ht="12.75" outlineLevel="1">
      <c r="A38" s="424" t="s">
        <v>2141</v>
      </c>
      <c r="C38" s="471"/>
      <c r="D38" s="471"/>
      <c r="E38" s="460" t="s">
        <v>2142</v>
      </c>
      <c r="F38" s="472" t="str">
        <f t="shared" si="0"/>
        <v>BOOTS CLAYTON SCHOL</v>
      </c>
      <c r="G38" s="473">
        <v>102855.19</v>
      </c>
      <c r="H38" s="474">
        <v>0</v>
      </c>
      <c r="I38" s="474">
        <v>-1978.57</v>
      </c>
      <c r="J38" s="474">
        <v>10018.4</v>
      </c>
      <c r="K38" s="474">
        <v>0</v>
      </c>
      <c r="L38" s="474">
        <v>0</v>
      </c>
      <c r="M38" s="474">
        <f t="shared" si="1"/>
        <v>110895.01999999999</v>
      </c>
    </row>
    <row r="39" spans="1:13" ht="12.75" outlineLevel="1">
      <c r="A39" s="424" t="s">
        <v>2143</v>
      </c>
      <c r="C39" s="471"/>
      <c r="D39" s="471"/>
      <c r="E39" s="460" t="s">
        <v>2144</v>
      </c>
      <c r="F39" s="472" t="str">
        <f t="shared" si="0"/>
        <v>CLAIR FELLOWSHIP</v>
      </c>
      <c r="G39" s="473">
        <v>30737.46</v>
      </c>
      <c r="H39" s="474">
        <v>0</v>
      </c>
      <c r="I39" s="474">
        <v>-591.3</v>
      </c>
      <c r="J39" s="474">
        <v>2993.93</v>
      </c>
      <c r="K39" s="474">
        <v>0</v>
      </c>
      <c r="L39" s="474">
        <v>0</v>
      </c>
      <c r="M39" s="474">
        <f t="shared" si="1"/>
        <v>33140.09</v>
      </c>
    </row>
    <row r="40" spans="1:13" ht="12.75" outlineLevel="1">
      <c r="A40" s="424" t="s">
        <v>2145</v>
      </c>
      <c r="C40" s="471"/>
      <c r="D40" s="471"/>
      <c r="E40" s="460" t="s">
        <v>2146</v>
      </c>
      <c r="F40" s="472" t="str">
        <f t="shared" si="0"/>
        <v>CLEMENT &amp; CUNNINGHAM</v>
      </c>
      <c r="G40" s="473">
        <v>23689.21</v>
      </c>
      <c r="H40" s="474">
        <v>0</v>
      </c>
      <c r="I40" s="474">
        <v>-455.71</v>
      </c>
      <c r="J40" s="474">
        <v>2307.4</v>
      </c>
      <c r="K40" s="474">
        <v>0</v>
      </c>
      <c r="L40" s="474">
        <v>0</v>
      </c>
      <c r="M40" s="474">
        <f t="shared" si="1"/>
        <v>25540.9</v>
      </c>
    </row>
    <row r="41" spans="1:13" ht="12.75" outlineLevel="1">
      <c r="A41" s="424" t="s">
        <v>2147</v>
      </c>
      <c r="C41" s="471"/>
      <c r="D41" s="471"/>
      <c r="E41" s="460" t="s">
        <v>2148</v>
      </c>
      <c r="F41" s="472" t="str">
        <f t="shared" si="0"/>
        <v>ANDY &amp; TONI COCHRAN</v>
      </c>
      <c r="G41" s="473">
        <v>18160.75</v>
      </c>
      <c r="H41" s="474">
        <v>0</v>
      </c>
      <c r="I41" s="474">
        <v>0</v>
      </c>
      <c r="J41" s="474">
        <v>-762.64</v>
      </c>
      <c r="K41" s="474">
        <v>0</v>
      </c>
      <c r="L41" s="474">
        <v>0</v>
      </c>
      <c r="M41" s="474">
        <f t="shared" si="1"/>
        <v>17398.11</v>
      </c>
    </row>
    <row r="42" spans="1:13" ht="12.75" outlineLevel="1">
      <c r="A42" s="424" t="s">
        <v>2149</v>
      </c>
      <c r="C42" s="471"/>
      <c r="D42" s="471"/>
      <c r="E42" s="460" t="s">
        <v>2150</v>
      </c>
      <c r="F42" s="472" t="str">
        <f t="shared" si="0"/>
        <v>COLE END SCHP</v>
      </c>
      <c r="G42" s="473">
        <v>72631.54</v>
      </c>
      <c r="H42" s="474">
        <v>0</v>
      </c>
      <c r="I42" s="474">
        <v>-1396.23</v>
      </c>
      <c r="J42" s="474">
        <v>7074.61</v>
      </c>
      <c r="K42" s="474">
        <v>0</v>
      </c>
      <c r="L42" s="474">
        <v>0</v>
      </c>
      <c r="M42" s="474">
        <f t="shared" si="1"/>
        <v>78309.92</v>
      </c>
    </row>
    <row r="43" spans="1:13" ht="12.75" outlineLevel="1">
      <c r="A43" s="424" t="s">
        <v>0</v>
      </c>
      <c r="C43" s="471"/>
      <c r="D43" s="471"/>
      <c r="E43" s="460" t="s">
        <v>1</v>
      </c>
      <c r="F43" s="472" t="str">
        <f t="shared" si="0"/>
        <v>I R COOK MEM SCHP</v>
      </c>
      <c r="G43" s="473">
        <v>8534.35</v>
      </c>
      <c r="H43" s="474">
        <v>0</v>
      </c>
      <c r="I43" s="474">
        <v>-237.87</v>
      </c>
      <c r="J43" s="474">
        <v>823.95</v>
      </c>
      <c r="K43" s="474">
        <v>0</v>
      </c>
      <c r="L43" s="474">
        <v>0</v>
      </c>
      <c r="M43" s="474">
        <f t="shared" si="1"/>
        <v>9120.43</v>
      </c>
    </row>
    <row r="44" spans="1:13" ht="12.75" outlineLevel="1">
      <c r="A44" s="424" t="s">
        <v>2</v>
      </c>
      <c r="C44" s="471"/>
      <c r="D44" s="471"/>
      <c r="E44" s="460" t="s">
        <v>3</v>
      </c>
      <c r="F44" s="472" t="str">
        <f t="shared" si="0"/>
        <v>COOKSEY MEM AWD</v>
      </c>
      <c r="G44" s="473">
        <v>27248.9</v>
      </c>
      <c r="H44" s="474">
        <v>0</v>
      </c>
      <c r="I44" s="474">
        <v>-524.19</v>
      </c>
      <c r="J44" s="474">
        <v>2654.11</v>
      </c>
      <c r="K44" s="474">
        <v>0</v>
      </c>
      <c r="L44" s="474">
        <v>0</v>
      </c>
      <c r="M44" s="474">
        <f t="shared" si="1"/>
        <v>29378.820000000003</v>
      </c>
    </row>
    <row r="45" spans="1:13" ht="12.75" outlineLevel="1">
      <c r="A45" s="424" t="s">
        <v>4</v>
      </c>
      <c r="C45" s="471"/>
      <c r="D45" s="471"/>
      <c r="E45" s="460" t="s">
        <v>5</v>
      </c>
      <c r="F45" s="472" t="str">
        <f t="shared" si="0"/>
        <v>J ROBERT COOK SCHP</v>
      </c>
      <c r="G45" s="473">
        <v>5172.22</v>
      </c>
      <c r="H45" s="474">
        <v>0</v>
      </c>
      <c r="I45" s="474">
        <v>-226.18</v>
      </c>
      <c r="J45" s="474">
        <v>503.51</v>
      </c>
      <c r="K45" s="474">
        <v>0</v>
      </c>
      <c r="L45" s="474">
        <v>-1000</v>
      </c>
      <c r="M45" s="474">
        <f t="shared" si="1"/>
        <v>4449.55</v>
      </c>
    </row>
    <row r="46" spans="1:13" ht="12.75" outlineLevel="1">
      <c r="A46" s="424" t="s">
        <v>6</v>
      </c>
      <c r="C46" s="471"/>
      <c r="D46" s="471"/>
      <c r="E46" s="460" t="s">
        <v>7</v>
      </c>
      <c r="F46" s="472" t="str">
        <f t="shared" si="0"/>
        <v>R L COOPER SCHP</v>
      </c>
      <c r="G46" s="473">
        <v>54518.14</v>
      </c>
      <c r="H46" s="474">
        <v>225</v>
      </c>
      <c r="I46" s="474">
        <v>-1036.3</v>
      </c>
      <c r="J46" s="474">
        <v>5303.96</v>
      </c>
      <c r="K46" s="474">
        <v>0</v>
      </c>
      <c r="L46" s="474">
        <v>0</v>
      </c>
      <c r="M46" s="474">
        <f t="shared" si="1"/>
        <v>59010.799999999996</v>
      </c>
    </row>
    <row r="47" spans="1:13" ht="12.75" outlineLevel="1">
      <c r="A47" s="424" t="s">
        <v>8</v>
      </c>
      <c r="C47" s="471"/>
      <c r="D47" s="471"/>
      <c r="E47" s="460" t="s">
        <v>9</v>
      </c>
      <c r="F47" s="472" t="str">
        <f t="shared" si="0"/>
        <v>COTERIE SCHP</v>
      </c>
      <c r="G47" s="473">
        <v>91301.74</v>
      </c>
      <c r="H47" s="474">
        <v>2950</v>
      </c>
      <c r="I47" s="474">
        <v>-1537.62</v>
      </c>
      <c r="J47" s="474">
        <v>8978.22</v>
      </c>
      <c r="K47" s="474">
        <v>0</v>
      </c>
      <c r="L47" s="474">
        <v>0</v>
      </c>
      <c r="M47" s="474">
        <f t="shared" si="1"/>
        <v>101692.34000000001</v>
      </c>
    </row>
    <row r="48" spans="1:13" ht="12.75" outlineLevel="1">
      <c r="A48" s="424" t="s">
        <v>10</v>
      </c>
      <c r="C48" s="471"/>
      <c r="D48" s="471"/>
      <c r="E48" s="460" t="s">
        <v>11</v>
      </c>
      <c r="F48" s="472" t="str">
        <f t="shared" si="0"/>
        <v>COGHILL ENDOW SCHP</v>
      </c>
      <c r="G48" s="473">
        <v>738219.25</v>
      </c>
      <c r="H48" s="474">
        <v>0</v>
      </c>
      <c r="I48" s="474">
        <v>-14200.78</v>
      </c>
      <c r="J48" s="474">
        <v>71904.71</v>
      </c>
      <c r="K48" s="474">
        <v>0</v>
      </c>
      <c r="L48" s="474">
        <v>0</v>
      </c>
      <c r="M48" s="474">
        <f t="shared" si="1"/>
        <v>795923.1799999999</v>
      </c>
    </row>
    <row r="49" spans="1:13" ht="12.75" outlineLevel="1">
      <c r="A49" s="424" t="s">
        <v>12</v>
      </c>
      <c r="C49" s="471"/>
      <c r="D49" s="471"/>
      <c r="E49" s="460" t="s">
        <v>13</v>
      </c>
      <c r="F49" s="472" t="str">
        <f t="shared" si="0"/>
        <v>D G CRECELIUS SCHP</v>
      </c>
      <c r="G49" s="473">
        <v>7594.68</v>
      </c>
      <c r="H49" s="474">
        <v>0</v>
      </c>
      <c r="I49" s="474">
        <v>0</v>
      </c>
      <c r="J49" s="474">
        <v>-318.94</v>
      </c>
      <c r="K49" s="474">
        <v>0</v>
      </c>
      <c r="L49" s="474">
        <v>0</v>
      </c>
      <c r="M49" s="474">
        <f t="shared" si="1"/>
        <v>7275.740000000001</v>
      </c>
    </row>
    <row r="50" spans="1:13" ht="12.75" outlineLevel="1">
      <c r="A50" s="424" t="s">
        <v>14</v>
      </c>
      <c r="C50" s="471"/>
      <c r="D50" s="471"/>
      <c r="E50" s="460" t="s">
        <v>15</v>
      </c>
      <c r="F50" s="472" t="str">
        <f t="shared" si="0"/>
        <v>CROSS COUNTRY ED SCH</v>
      </c>
      <c r="G50" s="473">
        <v>32999.01</v>
      </c>
      <c r="H50" s="474">
        <v>525</v>
      </c>
      <c r="I50" s="474">
        <v>-614.57</v>
      </c>
      <c r="J50" s="474">
        <v>3245.88</v>
      </c>
      <c r="K50" s="474">
        <v>0</v>
      </c>
      <c r="L50" s="474">
        <v>0</v>
      </c>
      <c r="M50" s="474">
        <f t="shared" si="1"/>
        <v>36155.32</v>
      </c>
    </row>
    <row r="51" spans="1:13" ht="12.75" outlineLevel="1">
      <c r="A51" s="424" t="s">
        <v>16</v>
      </c>
      <c r="C51" s="471"/>
      <c r="D51" s="471"/>
      <c r="E51" s="460" t="s">
        <v>17</v>
      </c>
      <c r="F51" s="472" t="str">
        <f t="shared" si="0"/>
        <v>JOHN DAILY END SCHP</v>
      </c>
      <c r="G51" s="473">
        <v>159255.79</v>
      </c>
      <c r="H51" s="474">
        <v>0</v>
      </c>
      <c r="I51" s="474">
        <v>-3063.52</v>
      </c>
      <c r="J51" s="474">
        <v>15511.99</v>
      </c>
      <c r="K51" s="474">
        <v>0</v>
      </c>
      <c r="L51" s="474">
        <v>0</v>
      </c>
      <c r="M51" s="474">
        <f t="shared" si="1"/>
        <v>171704.26</v>
      </c>
    </row>
    <row r="52" spans="1:13" ht="12.75" outlineLevel="1">
      <c r="A52" s="424" t="s">
        <v>18</v>
      </c>
      <c r="C52" s="471"/>
      <c r="D52" s="471"/>
      <c r="E52" s="460" t="s">
        <v>19</v>
      </c>
      <c r="F52" s="472" t="str">
        <f t="shared" si="0"/>
        <v>F H DEARING ED SCH</v>
      </c>
      <c r="G52" s="473">
        <v>104178.04</v>
      </c>
      <c r="H52" s="474">
        <v>0</v>
      </c>
      <c r="I52" s="474">
        <v>-2004.04</v>
      </c>
      <c r="J52" s="474">
        <v>10147.23</v>
      </c>
      <c r="K52" s="474">
        <v>0</v>
      </c>
      <c r="L52" s="474">
        <v>0</v>
      </c>
      <c r="M52" s="474">
        <f t="shared" si="1"/>
        <v>112321.23</v>
      </c>
    </row>
    <row r="53" spans="1:13" ht="12.75" outlineLevel="1">
      <c r="A53" s="424" t="s">
        <v>20</v>
      </c>
      <c r="C53" s="471"/>
      <c r="D53" s="471"/>
      <c r="E53" s="460" t="s">
        <v>21</v>
      </c>
      <c r="F53" s="472" t="str">
        <f t="shared" si="0"/>
        <v>F E DENNIE MEM SCH</v>
      </c>
      <c r="G53" s="473">
        <v>186120.45</v>
      </c>
      <c r="H53" s="474">
        <v>0</v>
      </c>
      <c r="I53" s="474">
        <v>-3580.31</v>
      </c>
      <c r="J53" s="474">
        <v>18128.67</v>
      </c>
      <c r="K53" s="474">
        <v>0</v>
      </c>
      <c r="L53" s="474">
        <v>0</v>
      </c>
      <c r="M53" s="474">
        <f t="shared" si="1"/>
        <v>200668.81</v>
      </c>
    </row>
    <row r="54" spans="1:13" ht="12.75" outlineLevel="1">
      <c r="A54" s="424" t="s">
        <v>22</v>
      </c>
      <c r="C54" s="471"/>
      <c r="D54" s="471"/>
      <c r="E54" s="460" t="s">
        <v>23</v>
      </c>
      <c r="F54" s="472" t="str">
        <f t="shared" si="0"/>
        <v>DRESSER END SCHP</v>
      </c>
      <c r="G54" s="473">
        <v>13814.42</v>
      </c>
      <c r="H54" s="474">
        <v>250</v>
      </c>
      <c r="I54" s="474">
        <v>-261.66</v>
      </c>
      <c r="J54" s="474">
        <v>1350.18</v>
      </c>
      <c r="K54" s="474">
        <v>0</v>
      </c>
      <c r="L54" s="474">
        <v>0</v>
      </c>
      <c r="M54" s="474">
        <f t="shared" si="1"/>
        <v>15152.94</v>
      </c>
    </row>
    <row r="55" spans="1:13" ht="12.75" outlineLevel="1">
      <c r="A55" s="424" t="s">
        <v>24</v>
      </c>
      <c r="C55" s="471"/>
      <c r="D55" s="471"/>
      <c r="E55" s="460" t="s">
        <v>25</v>
      </c>
      <c r="F55" s="472" t="str">
        <f t="shared" si="0"/>
        <v>EASLEY SCHOLARSHIP</v>
      </c>
      <c r="G55" s="473">
        <v>139833.15</v>
      </c>
      <c r="H55" s="474">
        <v>0</v>
      </c>
      <c r="I55" s="474">
        <v>-2689.91</v>
      </c>
      <c r="J55" s="474">
        <v>13620.15</v>
      </c>
      <c r="K55" s="474">
        <v>0</v>
      </c>
      <c r="L55" s="474">
        <v>0</v>
      </c>
      <c r="M55" s="474">
        <f t="shared" si="1"/>
        <v>150763.38999999998</v>
      </c>
    </row>
    <row r="56" spans="1:13" ht="12.75" outlineLevel="1">
      <c r="A56" s="424" t="s">
        <v>26</v>
      </c>
      <c r="C56" s="471"/>
      <c r="D56" s="471"/>
      <c r="E56" s="460" t="s">
        <v>27</v>
      </c>
      <c r="F56" s="445" t="str">
        <f t="shared" si="0"/>
        <v>ECK ENDOWED SCHP</v>
      </c>
      <c r="G56" s="521">
        <v>21004</v>
      </c>
      <c r="H56" s="474">
        <v>50</v>
      </c>
      <c r="I56" s="474">
        <v>-403.34</v>
      </c>
      <c r="J56" s="474">
        <v>2044.72</v>
      </c>
      <c r="K56" s="474">
        <v>0</v>
      </c>
      <c r="L56" s="474">
        <v>0</v>
      </c>
      <c r="M56" s="474">
        <f t="shared" si="1"/>
        <v>22695.38</v>
      </c>
    </row>
    <row r="57" spans="1:13" ht="12.75" outlineLevel="1">
      <c r="A57" s="424" t="s">
        <v>28</v>
      </c>
      <c r="C57" s="471"/>
      <c r="D57" s="471"/>
      <c r="E57" s="460" t="s">
        <v>29</v>
      </c>
      <c r="F57" s="445" t="str">
        <f t="shared" si="0"/>
        <v>ECKHOFF ENDOWED SCHP</v>
      </c>
      <c r="G57" s="521">
        <v>52244.79</v>
      </c>
      <c r="H57" s="474">
        <v>1500</v>
      </c>
      <c r="I57" s="474">
        <v>-957.85</v>
      </c>
      <c r="J57" s="474">
        <v>5074.56</v>
      </c>
      <c r="K57" s="474">
        <v>0</v>
      </c>
      <c r="L57" s="474">
        <v>0</v>
      </c>
      <c r="M57" s="474">
        <f t="shared" si="1"/>
        <v>57861.5</v>
      </c>
    </row>
    <row r="58" spans="1:13" ht="12.75" outlineLevel="1">
      <c r="A58" s="424" t="s">
        <v>30</v>
      </c>
      <c r="C58" s="471"/>
      <c r="D58" s="471"/>
      <c r="E58" s="460" t="s">
        <v>31</v>
      </c>
      <c r="F58" s="472" t="str">
        <f t="shared" si="0"/>
        <v>ECONOMICS ALUM SCHP</v>
      </c>
      <c r="G58" s="473">
        <v>14696.76</v>
      </c>
      <c r="H58" s="474">
        <v>0</v>
      </c>
      <c r="I58" s="474">
        <v>-282.74</v>
      </c>
      <c r="J58" s="474">
        <v>1431.51</v>
      </c>
      <c r="K58" s="474">
        <v>0</v>
      </c>
      <c r="L58" s="474">
        <v>0</v>
      </c>
      <c r="M58" s="474">
        <f t="shared" si="1"/>
        <v>15845.53</v>
      </c>
    </row>
    <row r="59" spans="1:13" ht="12.75" outlineLevel="1">
      <c r="A59" s="424" t="s">
        <v>32</v>
      </c>
      <c r="C59" s="471"/>
      <c r="D59" s="471"/>
      <c r="E59" s="460" t="s">
        <v>33</v>
      </c>
      <c r="F59" s="472" t="str">
        <f t="shared" si="0"/>
        <v>EDWARDS SCH</v>
      </c>
      <c r="G59" s="473">
        <v>68070.68</v>
      </c>
      <c r="H59" s="474">
        <v>1100</v>
      </c>
      <c r="I59" s="474">
        <v>-1266.9</v>
      </c>
      <c r="J59" s="474">
        <v>6620.66</v>
      </c>
      <c r="K59" s="474">
        <v>0</v>
      </c>
      <c r="L59" s="474">
        <v>0</v>
      </c>
      <c r="M59" s="474">
        <f t="shared" si="1"/>
        <v>74524.44</v>
      </c>
    </row>
    <row r="60" spans="1:13" ht="12.75" outlineLevel="1">
      <c r="A60" s="424" t="s">
        <v>34</v>
      </c>
      <c r="C60" s="471"/>
      <c r="D60" s="471"/>
      <c r="E60" s="460" t="s">
        <v>35</v>
      </c>
      <c r="F60" s="472" t="str">
        <f t="shared" si="0"/>
        <v>F S ELFRED SCHP</v>
      </c>
      <c r="G60" s="473">
        <v>21612.56</v>
      </c>
      <c r="H60" s="474">
        <v>0</v>
      </c>
      <c r="I60" s="474">
        <v>0</v>
      </c>
      <c r="J60" s="474">
        <v>-907.61</v>
      </c>
      <c r="K60" s="474">
        <v>0</v>
      </c>
      <c r="L60" s="474">
        <v>0</v>
      </c>
      <c r="M60" s="474">
        <f t="shared" si="1"/>
        <v>20704.95</v>
      </c>
    </row>
    <row r="61" spans="1:13" ht="12.75" outlineLevel="1">
      <c r="A61" s="424" t="s">
        <v>36</v>
      </c>
      <c r="C61" s="471"/>
      <c r="D61" s="471"/>
      <c r="E61" s="460" t="s">
        <v>37</v>
      </c>
      <c r="F61" s="472" t="str">
        <f t="shared" si="0"/>
        <v>END SCHP FOR MIN ENG</v>
      </c>
      <c r="G61" s="473">
        <v>183788.04</v>
      </c>
      <c r="H61" s="474">
        <v>0</v>
      </c>
      <c r="I61" s="474">
        <v>-3535.44</v>
      </c>
      <c r="J61" s="474">
        <v>17901.47</v>
      </c>
      <c r="K61" s="474">
        <v>0</v>
      </c>
      <c r="L61" s="474">
        <v>0</v>
      </c>
      <c r="M61" s="474">
        <f t="shared" si="1"/>
        <v>198154.07</v>
      </c>
    </row>
    <row r="62" spans="1:13" ht="12.75" outlineLevel="1">
      <c r="A62" s="424" t="s">
        <v>38</v>
      </c>
      <c r="C62" s="471"/>
      <c r="D62" s="471"/>
      <c r="E62" s="460" t="s">
        <v>39</v>
      </c>
      <c r="F62" s="472" t="str">
        <f t="shared" si="0"/>
        <v>EMANUEL MEM SCHP</v>
      </c>
      <c r="G62" s="473">
        <v>11168.83</v>
      </c>
      <c r="H62" s="474">
        <v>0</v>
      </c>
      <c r="I62" s="474">
        <v>-214.85</v>
      </c>
      <c r="J62" s="474">
        <v>1087.88</v>
      </c>
      <c r="K62" s="474">
        <v>0</v>
      </c>
      <c r="L62" s="474">
        <v>0</v>
      </c>
      <c r="M62" s="474">
        <f t="shared" si="1"/>
        <v>12041.86</v>
      </c>
    </row>
    <row r="63" spans="1:13" ht="12.75" outlineLevel="1">
      <c r="A63" s="424" t="s">
        <v>40</v>
      </c>
      <c r="C63" s="471"/>
      <c r="D63" s="471"/>
      <c r="E63" s="460" t="s">
        <v>41</v>
      </c>
      <c r="F63" s="472" t="str">
        <f t="shared" si="0"/>
        <v>ENGLISH SCHP</v>
      </c>
      <c r="G63" s="473">
        <v>106044.46</v>
      </c>
      <c r="H63" s="474">
        <v>0</v>
      </c>
      <c r="I63" s="474">
        <v>-2039.94</v>
      </c>
      <c r="J63" s="474">
        <v>10329.04</v>
      </c>
      <c r="K63" s="474">
        <v>0</v>
      </c>
      <c r="L63" s="474">
        <v>0</v>
      </c>
      <c r="M63" s="474">
        <f t="shared" si="1"/>
        <v>114333.56</v>
      </c>
    </row>
    <row r="64" spans="1:13" ht="12.75" outlineLevel="1">
      <c r="A64" s="424" t="s">
        <v>42</v>
      </c>
      <c r="C64" s="471"/>
      <c r="D64" s="471"/>
      <c r="E64" s="460" t="s">
        <v>43</v>
      </c>
      <c r="F64" s="472" t="str">
        <f t="shared" si="0"/>
        <v>EPPELSHEIMER SCHP</v>
      </c>
      <c r="G64" s="473">
        <v>28670.47</v>
      </c>
      <c r="H64" s="474">
        <v>0</v>
      </c>
      <c r="I64" s="474">
        <v>-551.52</v>
      </c>
      <c r="J64" s="474">
        <v>2792.6</v>
      </c>
      <c r="K64" s="474">
        <v>0</v>
      </c>
      <c r="L64" s="474">
        <v>0</v>
      </c>
      <c r="M64" s="474">
        <f t="shared" si="1"/>
        <v>30911.55</v>
      </c>
    </row>
    <row r="65" spans="1:13" ht="12.75" outlineLevel="1">
      <c r="A65" s="424" t="s">
        <v>44</v>
      </c>
      <c r="C65" s="471"/>
      <c r="D65" s="471"/>
      <c r="E65" s="460" t="s">
        <v>45</v>
      </c>
      <c r="F65" s="472" t="str">
        <f t="shared" si="0"/>
        <v>FASER END SCHP</v>
      </c>
      <c r="G65" s="473">
        <v>8230.9</v>
      </c>
      <c r="H65" s="474">
        <v>0</v>
      </c>
      <c r="I65" s="474">
        <v>-145.27</v>
      </c>
      <c r="J65" s="474">
        <v>915.07</v>
      </c>
      <c r="K65" s="474">
        <v>0</v>
      </c>
      <c r="L65" s="474">
        <v>0</v>
      </c>
      <c r="M65" s="474">
        <f t="shared" si="1"/>
        <v>9000.699999999999</v>
      </c>
    </row>
    <row r="66" spans="1:13" ht="12.75" outlineLevel="1">
      <c r="A66" s="424" t="s">
        <v>46</v>
      </c>
      <c r="C66" s="471"/>
      <c r="D66" s="471"/>
      <c r="E66" s="460" t="s">
        <v>47</v>
      </c>
      <c r="F66" s="472" t="str">
        <f t="shared" si="0"/>
        <v>THOMAS FAUCETT SCH</v>
      </c>
      <c r="G66" s="473">
        <v>34709.27</v>
      </c>
      <c r="H66" s="474">
        <v>0</v>
      </c>
      <c r="I66" s="474">
        <v>-667.7</v>
      </c>
      <c r="J66" s="474">
        <v>3380.78</v>
      </c>
      <c r="K66" s="474">
        <v>0</v>
      </c>
      <c r="L66" s="474">
        <v>0</v>
      </c>
      <c r="M66" s="474">
        <f t="shared" si="1"/>
        <v>37422.35</v>
      </c>
    </row>
    <row r="67" spans="1:13" ht="12.75" outlineLevel="1">
      <c r="A67" s="424" t="s">
        <v>48</v>
      </c>
      <c r="C67" s="471"/>
      <c r="D67" s="471"/>
      <c r="E67" s="460" t="s">
        <v>49</v>
      </c>
      <c r="F67" s="472" t="str">
        <f t="shared" si="0"/>
        <v>FCR END RES FELLOW</v>
      </c>
      <c r="G67" s="473">
        <v>34530.05</v>
      </c>
      <c r="H67" s="474">
        <v>0</v>
      </c>
      <c r="I67" s="474">
        <v>-655.99</v>
      </c>
      <c r="J67" s="474">
        <v>3364.16</v>
      </c>
      <c r="K67" s="474">
        <v>0</v>
      </c>
      <c r="L67" s="474">
        <v>0</v>
      </c>
      <c r="M67" s="474">
        <f t="shared" si="1"/>
        <v>37238.22</v>
      </c>
    </row>
    <row r="68" spans="1:13" ht="12.75" outlineLevel="1">
      <c r="A68" s="424" t="s">
        <v>50</v>
      </c>
      <c r="C68" s="471"/>
      <c r="D68" s="471"/>
      <c r="E68" s="460" t="s">
        <v>51</v>
      </c>
      <c r="F68" s="472" t="str">
        <f t="shared" si="0"/>
        <v>FCR UNDERGRAD RES FE</v>
      </c>
      <c r="G68" s="473">
        <v>22532.76</v>
      </c>
      <c r="H68" s="474">
        <v>0</v>
      </c>
      <c r="I68" s="474">
        <v>-433.47</v>
      </c>
      <c r="J68" s="474">
        <v>2194.76</v>
      </c>
      <c r="K68" s="474">
        <v>0</v>
      </c>
      <c r="L68" s="474">
        <v>0</v>
      </c>
      <c r="M68" s="474">
        <f t="shared" si="1"/>
        <v>24294.049999999996</v>
      </c>
    </row>
    <row r="69" spans="1:13" ht="12.75" outlineLevel="1">
      <c r="A69" s="424" t="s">
        <v>52</v>
      </c>
      <c r="C69" s="471"/>
      <c r="D69" s="471"/>
      <c r="E69" s="460" t="s">
        <v>53</v>
      </c>
      <c r="F69" s="472" t="str">
        <f t="shared" si="0"/>
        <v>S FEDER MEM SCHP</v>
      </c>
      <c r="G69" s="473">
        <v>17058.64</v>
      </c>
      <c r="H69" s="474">
        <v>0</v>
      </c>
      <c r="I69" s="474">
        <v>-328.15</v>
      </c>
      <c r="J69" s="474">
        <v>1661.56</v>
      </c>
      <c r="K69" s="474">
        <v>0</v>
      </c>
      <c r="L69" s="474">
        <v>0</v>
      </c>
      <c r="M69" s="474">
        <f t="shared" si="1"/>
        <v>18392.05</v>
      </c>
    </row>
    <row r="70" spans="1:13" ht="12.75" outlineLevel="1">
      <c r="A70" s="424" t="s">
        <v>54</v>
      </c>
      <c r="C70" s="471"/>
      <c r="D70" s="471"/>
      <c r="E70" s="460" t="s">
        <v>55</v>
      </c>
      <c r="F70" s="472" t="str">
        <f t="shared" si="0"/>
        <v>FINDLEY SCHP</v>
      </c>
      <c r="G70" s="473">
        <v>29220.26</v>
      </c>
      <c r="H70" s="474">
        <v>100</v>
      </c>
      <c r="I70" s="474">
        <v>-524.58</v>
      </c>
      <c r="J70" s="474">
        <v>2844.23</v>
      </c>
      <c r="K70" s="474">
        <v>0</v>
      </c>
      <c r="L70" s="474">
        <v>0</v>
      </c>
      <c r="M70" s="474">
        <f t="shared" si="1"/>
        <v>31639.909999999996</v>
      </c>
    </row>
    <row r="71" spans="1:13" ht="12.75" outlineLevel="1">
      <c r="A71" s="424" t="s">
        <v>56</v>
      </c>
      <c r="C71" s="471"/>
      <c r="D71" s="471"/>
      <c r="E71" s="460" t="s">
        <v>57</v>
      </c>
      <c r="F71" s="472" t="str">
        <f t="shared" si="0"/>
        <v>FINLEY FELLOWSHIP CM</v>
      </c>
      <c r="G71" s="473">
        <v>299192.33</v>
      </c>
      <c r="H71" s="474">
        <v>0</v>
      </c>
      <c r="I71" s="474">
        <v>-5755.41</v>
      </c>
      <c r="J71" s="474">
        <v>29142.2</v>
      </c>
      <c r="K71" s="474">
        <v>0</v>
      </c>
      <c r="L71" s="474">
        <v>0</v>
      </c>
      <c r="M71" s="474">
        <f t="shared" si="1"/>
        <v>322579.12000000005</v>
      </c>
    </row>
    <row r="72" spans="1:13" ht="12.75" outlineLevel="1">
      <c r="A72" s="424" t="s">
        <v>58</v>
      </c>
      <c r="C72" s="471"/>
      <c r="D72" s="471"/>
      <c r="E72" s="460" t="s">
        <v>59</v>
      </c>
      <c r="F72" s="472" t="str">
        <f t="shared" si="0"/>
        <v>FINLEY MINORITY SCHP</v>
      </c>
      <c r="G72" s="473">
        <v>105497.87</v>
      </c>
      <c r="H72" s="474">
        <v>0</v>
      </c>
      <c r="I72" s="474">
        <v>-2029.41</v>
      </c>
      <c r="J72" s="474">
        <v>10275.81</v>
      </c>
      <c r="K72" s="474">
        <v>0</v>
      </c>
      <c r="L72" s="474">
        <v>0</v>
      </c>
      <c r="M72" s="474">
        <f t="shared" si="1"/>
        <v>113744.26999999999</v>
      </c>
    </row>
    <row r="73" spans="1:13" ht="12.75" outlineLevel="1">
      <c r="A73" s="424" t="s">
        <v>60</v>
      </c>
      <c r="C73" s="471"/>
      <c r="D73" s="471"/>
      <c r="E73" s="460" t="s">
        <v>61</v>
      </c>
      <c r="F73" s="472" t="str">
        <f t="shared" si="0"/>
        <v>FINLEY SCHP ELEC ENG</v>
      </c>
      <c r="G73" s="473">
        <v>25027.4</v>
      </c>
      <c r="H73" s="474">
        <v>0</v>
      </c>
      <c r="I73" s="474">
        <v>0</v>
      </c>
      <c r="J73" s="474">
        <v>-1051.01</v>
      </c>
      <c r="K73" s="474">
        <v>0</v>
      </c>
      <c r="L73" s="474">
        <v>0</v>
      </c>
      <c r="M73" s="474">
        <f t="shared" si="1"/>
        <v>23976.390000000003</v>
      </c>
    </row>
    <row r="74" spans="1:13" ht="12.75" outlineLevel="1">
      <c r="A74" s="424" t="s">
        <v>62</v>
      </c>
      <c r="C74" s="471"/>
      <c r="D74" s="471"/>
      <c r="E74" s="460" t="s">
        <v>63</v>
      </c>
      <c r="F74" s="472" t="str">
        <f t="shared" si="0"/>
        <v>J L FLEBBE MEM SCHP</v>
      </c>
      <c r="G74" s="473">
        <v>64421.23</v>
      </c>
      <c r="H74" s="474">
        <v>975</v>
      </c>
      <c r="I74" s="474">
        <v>892.58</v>
      </c>
      <c r="J74" s="474">
        <v>-2693.65</v>
      </c>
      <c r="K74" s="474">
        <v>0</v>
      </c>
      <c r="L74" s="474">
        <v>0</v>
      </c>
      <c r="M74" s="474">
        <f t="shared" si="1"/>
        <v>63595.159999999996</v>
      </c>
    </row>
    <row r="75" spans="1:13" ht="12.75" outlineLevel="1">
      <c r="A75" s="424" t="s">
        <v>64</v>
      </c>
      <c r="C75" s="471"/>
      <c r="D75" s="471"/>
      <c r="E75" s="460" t="s">
        <v>65</v>
      </c>
      <c r="F75" s="472" t="str">
        <f aca="true" t="shared" si="2" ref="F75:F138">UPPER(E75)</f>
        <v>FORD/EEOC SCHP</v>
      </c>
      <c r="G75" s="473">
        <v>490881.29</v>
      </c>
      <c r="H75" s="474">
        <v>0</v>
      </c>
      <c r="I75" s="474">
        <v>-9442.86</v>
      </c>
      <c r="J75" s="474">
        <v>47813.26</v>
      </c>
      <c r="K75" s="474">
        <v>0</v>
      </c>
      <c r="L75" s="474">
        <v>0</v>
      </c>
      <c r="M75" s="474">
        <f aca="true" t="shared" si="3" ref="M75:M138">G75+H75+I75+J75-K75+L75</f>
        <v>529251.69</v>
      </c>
    </row>
    <row r="76" spans="1:13" ht="12.75" outlineLevel="1">
      <c r="A76" s="424" t="s">
        <v>66</v>
      </c>
      <c r="C76" s="471"/>
      <c r="D76" s="471"/>
      <c r="E76" s="460" t="s">
        <v>67</v>
      </c>
      <c r="F76" s="472" t="str">
        <f t="shared" si="2"/>
        <v>FREEMAN END SCHP</v>
      </c>
      <c r="G76" s="473">
        <v>213066.9</v>
      </c>
      <c r="H76" s="474">
        <v>0</v>
      </c>
      <c r="I76" s="474">
        <v>-4098.67</v>
      </c>
      <c r="J76" s="474">
        <v>20753.35</v>
      </c>
      <c r="K76" s="474">
        <v>0</v>
      </c>
      <c r="L76" s="474">
        <v>0</v>
      </c>
      <c r="M76" s="474">
        <f t="shared" si="3"/>
        <v>229721.58</v>
      </c>
    </row>
    <row r="77" spans="1:13" ht="12.75" outlineLevel="1">
      <c r="A77" s="424" t="s">
        <v>68</v>
      </c>
      <c r="C77" s="471"/>
      <c r="D77" s="471"/>
      <c r="E77" s="460" t="s">
        <v>1998</v>
      </c>
      <c r="F77" s="472" t="str">
        <f t="shared" si="2"/>
        <v>H Q FULLER SCH-LN FD</v>
      </c>
      <c r="G77" s="473">
        <v>52629.64</v>
      </c>
      <c r="H77" s="474">
        <v>50</v>
      </c>
      <c r="I77" s="474">
        <v>181.84</v>
      </c>
      <c r="J77" s="474">
        <v>-2180.48</v>
      </c>
      <c r="K77" s="474">
        <v>0</v>
      </c>
      <c r="L77" s="474">
        <v>0</v>
      </c>
      <c r="M77" s="474">
        <f t="shared" si="3"/>
        <v>50680.99999999999</v>
      </c>
    </row>
    <row r="78" spans="1:13" ht="12.75" outlineLevel="1">
      <c r="A78" s="424" t="s">
        <v>69</v>
      </c>
      <c r="C78" s="471"/>
      <c r="D78" s="471"/>
      <c r="E78" s="460" t="s">
        <v>70</v>
      </c>
      <c r="F78" s="472" t="str">
        <f t="shared" si="2"/>
        <v>FULTON SCH A &amp; S</v>
      </c>
      <c r="G78" s="473">
        <v>14762.42</v>
      </c>
      <c r="H78" s="474">
        <v>0</v>
      </c>
      <c r="I78" s="474">
        <v>-283.97</v>
      </c>
      <c r="J78" s="474">
        <v>1437.91</v>
      </c>
      <c r="K78" s="474">
        <v>0</v>
      </c>
      <c r="L78" s="474">
        <v>0</v>
      </c>
      <c r="M78" s="474">
        <f t="shared" si="3"/>
        <v>15916.36</v>
      </c>
    </row>
    <row r="79" spans="1:13" ht="12.75" outlineLevel="1">
      <c r="A79" s="424" t="s">
        <v>71</v>
      </c>
      <c r="C79" s="471"/>
      <c r="D79" s="471"/>
      <c r="E79" s="460" t="s">
        <v>72</v>
      </c>
      <c r="F79" s="472" t="str">
        <f t="shared" si="2"/>
        <v>GEO ENG ENV SCHP</v>
      </c>
      <c r="G79" s="473">
        <v>73933.94</v>
      </c>
      <c r="H79" s="474">
        <v>0</v>
      </c>
      <c r="I79" s="474">
        <v>-1422.23</v>
      </c>
      <c r="J79" s="474">
        <v>7201.4</v>
      </c>
      <c r="K79" s="474">
        <v>0</v>
      </c>
      <c r="L79" s="474">
        <v>0</v>
      </c>
      <c r="M79" s="474">
        <f t="shared" si="3"/>
        <v>79713.11</v>
      </c>
    </row>
    <row r="80" spans="1:13" ht="12.75" outlineLevel="1">
      <c r="A80" s="424" t="s">
        <v>73</v>
      </c>
      <c r="C80" s="471"/>
      <c r="D80" s="471"/>
      <c r="E80" s="460" t="s">
        <v>74</v>
      </c>
      <c r="F80" s="472" t="str">
        <f t="shared" si="2"/>
        <v>GJELSTEEN END SCHP</v>
      </c>
      <c r="G80" s="473">
        <v>107165.44</v>
      </c>
      <c r="H80" s="474">
        <v>0</v>
      </c>
      <c r="I80" s="474">
        <v>-2061.49</v>
      </c>
      <c r="J80" s="474">
        <v>10438.23</v>
      </c>
      <c r="K80" s="474">
        <v>0</v>
      </c>
      <c r="L80" s="474">
        <v>0</v>
      </c>
      <c r="M80" s="474">
        <f t="shared" si="3"/>
        <v>115542.18</v>
      </c>
    </row>
    <row r="81" spans="1:13" ht="12.75" outlineLevel="1">
      <c r="A81" s="424" t="s">
        <v>75</v>
      </c>
      <c r="C81" s="471"/>
      <c r="D81" s="471"/>
      <c r="E81" s="460" t="s">
        <v>76</v>
      </c>
      <c r="F81" s="472" t="str">
        <f t="shared" si="2"/>
        <v>GIESEKE MEM SCHP</v>
      </c>
      <c r="G81" s="473">
        <v>12950.37</v>
      </c>
      <c r="H81" s="474">
        <v>0</v>
      </c>
      <c r="I81" s="474">
        <v>-249.13</v>
      </c>
      <c r="J81" s="474">
        <v>1261.4</v>
      </c>
      <c r="K81" s="474">
        <v>0</v>
      </c>
      <c r="L81" s="474">
        <v>0</v>
      </c>
      <c r="M81" s="474">
        <f t="shared" si="3"/>
        <v>13962.640000000001</v>
      </c>
    </row>
    <row r="82" spans="1:13" ht="12.75" outlineLevel="1">
      <c r="A82" s="424" t="s">
        <v>77</v>
      </c>
      <c r="C82" s="471"/>
      <c r="D82" s="471"/>
      <c r="E82" s="460" t="s">
        <v>78</v>
      </c>
      <c r="F82" s="472" t="str">
        <f t="shared" si="2"/>
        <v>A F GOLICK AWD METAL</v>
      </c>
      <c r="G82" s="473">
        <v>27733.98</v>
      </c>
      <c r="H82" s="474">
        <v>0</v>
      </c>
      <c r="I82" s="474">
        <v>-533.52</v>
      </c>
      <c r="J82" s="474">
        <v>2701.37</v>
      </c>
      <c r="K82" s="474">
        <v>0</v>
      </c>
      <c r="L82" s="474">
        <v>0</v>
      </c>
      <c r="M82" s="474">
        <f t="shared" si="3"/>
        <v>29901.829999999998</v>
      </c>
    </row>
    <row r="83" spans="1:13" ht="12.75" outlineLevel="1">
      <c r="A83" s="424" t="s">
        <v>79</v>
      </c>
      <c r="C83" s="471"/>
      <c r="D83" s="471"/>
      <c r="E83" s="460" t="s">
        <v>80</v>
      </c>
      <c r="F83" s="472" t="str">
        <f t="shared" si="2"/>
        <v>GRAHAM SCHOLARSHIP</v>
      </c>
      <c r="G83" s="473">
        <v>714466.39</v>
      </c>
      <c r="H83" s="474">
        <v>0</v>
      </c>
      <c r="I83" s="474">
        <v>-13743.85</v>
      </c>
      <c r="J83" s="474">
        <v>69591.09</v>
      </c>
      <c r="K83" s="474">
        <v>0</v>
      </c>
      <c r="L83" s="474">
        <v>0</v>
      </c>
      <c r="M83" s="474">
        <f t="shared" si="3"/>
        <v>770313.63</v>
      </c>
    </row>
    <row r="84" spans="1:13" ht="12.75" outlineLevel="1">
      <c r="A84" s="424" t="s">
        <v>81</v>
      </c>
      <c r="C84" s="471"/>
      <c r="D84" s="471"/>
      <c r="E84" s="460" t="s">
        <v>82</v>
      </c>
      <c r="F84" s="472" t="str">
        <f t="shared" si="2"/>
        <v>H H GRICE SCH FUND</v>
      </c>
      <c r="G84" s="473">
        <v>228039.82</v>
      </c>
      <c r="H84" s="474">
        <v>1525</v>
      </c>
      <c r="I84" s="474">
        <v>-4350.04</v>
      </c>
      <c r="J84" s="474">
        <v>22225.88</v>
      </c>
      <c r="K84" s="474">
        <v>0</v>
      </c>
      <c r="L84" s="474">
        <v>0</v>
      </c>
      <c r="M84" s="474">
        <f t="shared" si="3"/>
        <v>247440.66</v>
      </c>
    </row>
    <row r="85" spans="1:13" ht="12.75" outlineLevel="1">
      <c r="A85" s="424" t="s">
        <v>83</v>
      </c>
      <c r="C85" s="471"/>
      <c r="D85" s="471"/>
      <c r="E85" s="460" t="s">
        <v>84</v>
      </c>
      <c r="F85" s="472" t="str">
        <f t="shared" si="2"/>
        <v>GRIESENAUER SCHP</v>
      </c>
      <c r="G85" s="473">
        <v>41543.2</v>
      </c>
      <c r="H85" s="474">
        <v>0</v>
      </c>
      <c r="I85" s="474">
        <v>-798.56</v>
      </c>
      <c r="J85" s="474">
        <v>4046.49</v>
      </c>
      <c r="K85" s="474">
        <v>0</v>
      </c>
      <c r="L85" s="474">
        <v>0</v>
      </c>
      <c r="M85" s="474">
        <f t="shared" si="3"/>
        <v>44791.13</v>
      </c>
    </row>
    <row r="86" spans="1:13" ht="12.75" outlineLevel="1">
      <c r="A86" s="424" t="s">
        <v>85</v>
      </c>
      <c r="C86" s="471"/>
      <c r="D86" s="471"/>
      <c r="E86" s="460" t="s">
        <v>86</v>
      </c>
      <c r="F86" s="472" t="str">
        <f t="shared" si="2"/>
        <v>GRIMM EE SCHP</v>
      </c>
      <c r="G86" s="473">
        <v>346252.05</v>
      </c>
      <c r="H86" s="474">
        <v>50</v>
      </c>
      <c r="I86" s="474">
        <v>-6660.07</v>
      </c>
      <c r="J86" s="474">
        <v>33725.2</v>
      </c>
      <c r="K86" s="474">
        <v>0</v>
      </c>
      <c r="L86" s="474">
        <v>0</v>
      </c>
      <c r="M86" s="474">
        <f t="shared" si="3"/>
        <v>373367.18</v>
      </c>
    </row>
    <row r="87" spans="1:13" ht="12.75" outlineLevel="1">
      <c r="A87" s="424" t="s">
        <v>87</v>
      </c>
      <c r="C87" s="471"/>
      <c r="D87" s="471"/>
      <c r="E87" s="460" t="s">
        <v>88</v>
      </c>
      <c r="F87" s="472" t="str">
        <f t="shared" si="2"/>
        <v>C J GRIMM SCHP</v>
      </c>
      <c r="G87" s="473">
        <v>532878.08</v>
      </c>
      <c r="H87" s="474">
        <v>0</v>
      </c>
      <c r="I87" s="474">
        <v>-10250.76</v>
      </c>
      <c r="J87" s="474">
        <v>51903.86</v>
      </c>
      <c r="K87" s="474">
        <v>0</v>
      </c>
      <c r="L87" s="474">
        <v>0</v>
      </c>
      <c r="M87" s="474">
        <f t="shared" si="3"/>
        <v>574531.1799999999</v>
      </c>
    </row>
    <row r="88" spans="1:13" ht="12.75" outlineLevel="1">
      <c r="A88" s="424" t="s">
        <v>89</v>
      </c>
      <c r="C88" s="471"/>
      <c r="D88" s="471"/>
      <c r="E88" s="460" t="s">
        <v>90</v>
      </c>
      <c r="F88" s="472" t="str">
        <f t="shared" si="2"/>
        <v>GUNTHER END SCHOL</v>
      </c>
      <c r="G88" s="473">
        <v>16483.88</v>
      </c>
      <c r="H88" s="474">
        <v>0</v>
      </c>
      <c r="I88" s="474">
        <v>-317.11</v>
      </c>
      <c r="J88" s="474">
        <v>1605.57</v>
      </c>
      <c r="K88" s="474">
        <v>0</v>
      </c>
      <c r="L88" s="474">
        <v>0</v>
      </c>
      <c r="M88" s="474">
        <f t="shared" si="3"/>
        <v>17772.34</v>
      </c>
    </row>
    <row r="89" spans="1:13" ht="12.75" outlineLevel="1">
      <c r="A89" s="424" t="s">
        <v>91</v>
      </c>
      <c r="C89" s="471"/>
      <c r="D89" s="471"/>
      <c r="E89" s="460" t="s">
        <v>92</v>
      </c>
      <c r="F89" s="472" t="str">
        <f t="shared" si="2"/>
        <v>HAMBLEN COMPUTER SCH</v>
      </c>
      <c r="G89" s="473">
        <v>22878.48</v>
      </c>
      <c r="H89" s="474">
        <v>0</v>
      </c>
      <c r="I89" s="474">
        <v>-440.09</v>
      </c>
      <c r="J89" s="474">
        <v>2228.43</v>
      </c>
      <c r="K89" s="474">
        <v>0</v>
      </c>
      <c r="L89" s="474">
        <v>0</v>
      </c>
      <c r="M89" s="474">
        <f t="shared" si="3"/>
        <v>24666.82</v>
      </c>
    </row>
    <row r="90" spans="1:13" ht="12.75" outlineLevel="1">
      <c r="A90" s="424" t="s">
        <v>93</v>
      </c>
      <c r="C90" s="471"/>
      <c r="D90" s="471"/>
      <c r="E90" s="460" t="s">
        <v>94</v>
      </c>
      <c r="F90" s="472" t="str">
        <f t="shared" si="2"/>
        <v>HEILBRUNN SCHP</v>
      </c>
      <c r="G90" s="473">
        <v>96464.81</v>
      </c>
      <c r="H90" s="474">
        <v>0</v>
      </c>
      <c r="I90" s="474">
        <v>-1578.26</v>
      </c>
      <c r="J90" s="474">
        <v>9205.25</v>
      </c>
      <c r="K90" s="474">
        <v>0</v>
      </c>
      <c r="L90" s="474">
        <v>0</v>
      </c>
      <c r="M90" s="474">
        <f t="shared" si="3"/>
        <v>104091.8</v>
      </c>
    </row>
    <row r="91" spans="1:13" ht="12.75" outlineLevel="1">
      <c r="A91" s="424" t="s">
        <v>95</v>
      </c>
      <c r="C91" s="471"/>
      <c r="D91" s="471"/>
      <c r="E91" s="460" t="s">
        <v>96</v>
      </c>
      <c r="F91" s="472" t="str">
        <f t="shared" si="2"/>
        <v>ALBERT HAPPY SCHP</v>
      </c>
      <c r="G91" s="473">
        <v>133212.26</v>
      </c>
      <c r="H91" s="474">
        <v>0</v>
      </c>
      <c r="I91" s="474">
        <v>-2562.54</v>
      </c>
      <c r="J91" s="474">
        <v>12975.27</v>
      </c>
      <c r="K91" s="474">
        <v>0</v>
      </c>
      <c r="L91" s="474">
        <v>0</v>
      </c>
      <c r="M91" s="474">
        <f t="shared" si="3"/>
        <v>143624.99000000002</v>
      </c>
    </row>
    <row r="92" spans="1:13" ht="12.75" outlineLevel="1">
      <c r="A92" s="424" t="s">
        <v>97</v>
      </c>
      <c r="C92" s="471"/>
      <c r="D92" s="471"/>
      <c r="E92" s="460" t="s">
        <v>2221</v>
      </c>
      <c r="F92" s="472" t="str">
        <f t="shared" si="2"/>
        <v>HENDERSON ENDOWED</v>
      </c>
      <c r="G92" s="473">
        <v>92694.74</v>
      </c>
      <c r="H92" s="474">
        <v>0</v>
      </c>
      <c r="I92" s="474">
        <v>-1783.11</v>
      </c>
      <c r="J92" s="474">
        <v>9028.75</v>
      </c>
      <c r="K92" s="474">
        <v>0</v>
      </c>
      <c r="L92" s="474">
        <v>0</v>
      </c>
      <c r="M92" s="474">
        <f t="shared" si="3"/>
        <v>99940.38</v>
      </c>
    </row>
    <row r="93" spans="1:13" ht="12.75" outlineLevel="1">
      <c r="A93" s="424" t="s">
        <v>2222</v>
      </c>
      <c r="C93" s="471"/>
      <c r="D93" s="471"/>
      <c r="E93" s="460" t="s">
        <v>2223</v>
      </c>
      <c r="F93" s="472" t="str">
        <f t="shared" si="2"/>
        <v>HELWIG ENDOWED SCHP</v>
      </c>
      <c r="G93" s="473">
        <v>28571.83</v>
      </c>
      <c r="H93" s="474">
        <v>0</v>
      </c>
      <c r="I93" s="474">
        <v>-549.62</v>
      </c>
      <c r="J93" s="474">
        <v>2783</v>
      </c>
      <c r="K93" s="474">
        <v>0</v>
      </c>
      <c r="L93" s="474">
        <v>0</v>
      </c>
      <c r="M93" s="474">
        <f t="shared" si="3"/>
        <v>30805.210000000003</v>
      </c>
    </row>
    <row r="94" spans="1:13" ht="12.75" outlineLevel="1">
      <c r="A94" s="424" t="s">
        <v>2224</v>
      </c>
      <c r="C94" s="471"/>
      <c r="D94" s="471"/>
      <c r="E94" s="460" t="s">
        <v>2225</v>
      </c>
      <c r="F94" s="472" t="str">
        <f t="shared" si="2"/>
        <v>HERRMAN PERF ARTS AW</v>
      </c>
      <c r="G94" s="473">
        <v>18795.7</v>
      </c>
      <c r="H94" s="474">
        <v>0</v>
      </c>
      <c r="I94" s="474">
        <v>-361.57</v>
      </c>
      <c r="J94" s="474">
        <v>1830.76</v>
      </c>
      <c r="K94" s="474">
        <v>0</v>
      </c>
      <c r="L94" s="474">
        <v>0</v>
      </c>
      <c r="M94" s="474">
        <f t="shared" si="3"/>
        <v>20264.89</v>
      </c>
    </row>
    <row r="95" spans="1:13" ht="12.75" outlineLevel="1">
      <c r="A95" s="424" t="s">
        <v>2226</v>
      </c>
      <c r="C95" s="471"/>
      <c r="D95" s="471"/>
      <c r="E95" s="460" t="s">
        <v>2227</v>
      </c>
      <c r="F95" s="472" t="str">
        <f t="shared" si="2"/>
        <v>HEIM SCHP FUND</v>
      </c>
      <c r="G95" s="473">
        <v>32176.51</v>
      </c>
      <c r="H95" s="474">
        <v>0</v>
      </c>
      <c r="I95" s="474">
        <v>435.21</v>
      </c>
      <c r="J95" s="474">
        <v>-1337.85</v>
      </c>
      <c r="K95" s="474">
        <v>0</v>
      </c>
      <c r="L95" s="474">
        <v>0</v>
      </c>
      <c r="M95" s="474">
        <f t="shared" si="3"/>
        <v>31273.87</v>
      </c>
    </row>
    <row r="96" spans="1:13" ht="12.75" outlineLevel="1">
      <c r="A96" s="424" t="s">
        <v>2228</v>
      </c>
      <c r="C96" s="471"/>
      <c r="D96" s="471"/>
      <c r="E96" s="460" t="s">
        <v>2229</v>
      </c>
      <c r="F96" s="472" t="str">
        <f t="shared" si="2"/>
        <v>PAT HELL END SCHP</v>
      </c>
      <c r="G96" s="473">
        <v>25473.09</v>
      </c>
      <c r="H96" s="474">
        <v>0</v>
      </c>
      <c r="I96" s="474">
        <v>-479.55</v>
      </c>
      <c r="J96" s="474">
        <v>2482.17</v>
      </c>
      <c r="K96" s="474">
        <v>0</v>
      </c>
      <c r="L96" s="474">
        <v>0</v>
      </c>
      <c r="M96" s="474">
        <f t="shared" si="3"/>
        <v>27475.71</v>
      </c>
    </row>
    <row r="97" spans="1:13" ht="12.75" outlineLevel="1">
      <c r="A97" s="424" t="s">
        <v>2230</v>
      </c>
      <c r="C97" s="471"/>
      <c r="D97" s="471"/>
      <c r="E97" s="460" t="s">
        <v>2231</v>
      </c>
      <c r="F97" s="472" t="str">
        <f t="shared" si="2"/>
        <v>HIGHFILL ENDOW SCHP</v>
      </c>
      <c r="G97" s="473">
        <v>56037.78</v>
      </c>
      <c r="H97" s="474">
        <v>0</v>
      </c>
      <c r="I97" s="474">
        <v>-1077.97</v>
      </c>
      <c r="J97" s="474">
        <v>5458.25</v>
      </c>
      <c r="K97" s="474">
        <v>0</v>
      </c>
      <c r="L97" s="474">
        <v>0</v>
      </c>
      <c r="M97" s="474">
        <f t="shared" si="3"/>
        <v>60418.06</v>
      </c>
    </row>
    <row r="98" spans="1:13" ht="12.75" outlineLevel="1">
      <c r="A98" s="424" t="s">
        <v>2232</v>
      </c>
      <c r="C98" s="471"/>
      <c r="D98" s="471"/>
      <c r="E98" s="460" t="s">
        <v>2233</v>
      </c>
      <c r="F98" s="472" t="str">
        <f t="shared" si="2"/>
        <v>HOPPOCK ATHLETIC SCH</v>
      </c>
      <c r="G98" s="473">
        <v>108377.33</v>
      </c>
      <c r="H98" s="474">
        <v>0</v>
      </c>
      <c r="I98" s="474">
        <v>-2084.81</v>
      </c>
      <c r="J98" s="474">
        <v>10556.28</v>
      </c>
      <c r="K98" s="474">
        <v>0</v>
      </c>
      <c r="L98" s="474">
        <v>0</v>
      </c>
      <c r="M98" s="474">
        <f t="shared" si="3"/>
        <v>116848.8</v>
      </c>
    </row>
    <row r="99" spans="1:13" ht="12.75" outlineLevel="1">
      <c r="A99" s="424" t="s">
        <v>2234</v>
      </c>
      <c r="C99" s="471"/>
      <c r="D99" s="471"/>
      <c r="E99" s="460" t="s">
        <v>2235</v>
      </c>
      <c r="F99" s="472" t="str">
        <f t="shared" si="2"/>
        <v>HORNER &amp; SHIFRIN SCH</v>
      </c>
      <c r="G99" s="473">
        <v>28005.19</v>
      </c>
      <c r="H99" s="474">
        <v>0</v>
      </c>
      <c r="I99" s="474">
        <v>-538.72</v>
      </c>
      <c r="J99" s="474">
        <v>2727.79</v>
      </c>
      <c r="K99" s="474">
        <v>0</v>
      </c>
      <c r="L99" s="474">
        <v>0</v>
      </c>
      <c r="M99" s="474">
        <f t="shared" si="3"/>
        <v>30194.26</v>
      </c>
    </row>
    <row r="100" spans="1:13" ht="12.75" outlineLevel="1">
      <c r="A100" s="424" t="s">
        <v>2236</v>
      </c>
      <c r="C100" s="471"/>
      <c r="D100" s="471"/>
      <c r="E100" s="460" t="s">
        <v>2237</v>
      </c>
      <c r="F100" s="472" t="str">
        <f t="shared" si="2"/>
        <v>HOWERTON SCHP</v>
      </c>
      <c r="G100" s="473">
        <v>44972.23</v>
      </c>
      <c r="H100" s="474">
        <v>0</v>
      </c>
      <c r="I100" s="474">
        <v>-860.85</v>
      </c>
      <c r="J100" s="474">
        <v>4380.85</v>
      </c>
      <c r="K100" s="474">
        <v>0</v>
      </c>
      <c r="L100" s="474">
        <v>0</v>
      </c>
      <c r="M100" s="474">
        <f t="shared" si="3"/>
        <v>48492.23</v>
      </c>
    </row>
    <row r="101" spans="1:13" ht="12.75" outlineLevel="1">
      <c r="A101" s="424" t="s">
        <v>2238</v>
      </c>
      <c r="C101" s="471"/>
      <c r="D101" s="471"/>
      <c r="E101" s="460" t="s">
        <v>2239</v>
      </c>
      <c r="F101" s="472" t="str">
        <f t="shared" si="2"/>
        <v>JENKS ENDOWED SCHP</v>
      </c>
      <c r="G101" s="473">
        <v>39018.09</v>
      </c>
      <c r="H101" s="474">
        <v>0</v>
      </c>
      <c r="I101" s="474">
        <v>-750.58</v>
      </c>
      <c r="J101" s="474">
        <v>3800.48</v>
      </c>
      <c r="K101" s="474">
        <v>0</v>
      </c>
      <c r="L101" s="474">
        <v>0</v>
      </c>
      <c r="M101" s="474">
        <f t="shared" si="3"/>
        <v>42067.99</v>
      </c>
    </row>
    <row r="102" spans="1:13" ht="12.75" outlineLevel="1">
      <c r="A102" s="424" t="s">
        <v>2240</v>
      </c>
      <c r="C102" s="471"/>
      <c r="D102" s="471"/>
      <c r="E102" s="460" t="s">
        <v>2241</v>
      </c>
      <c r="F102" s="472" t="str">
        <f t="shared" si="2"/>
        <v>ROBERT JENKINS SCHP</v>
      </c>
      <c r="G102" s="473">
        <v>22127.63</v>
      </c>
      <c r="H102" s="474">
        <v>0</v>
      </c>
      <c r="I102" s="474">
        <v>-425.63</v>
      </c>
      <c r="J102" s="474">
        <v>2155.3</v>
      </c>
      <c r="K102" s="474">
        <v>0</v>
      </c>
      <c r="L102" s="474">
        <v>0</v>
      </c>
      <c r="M102" s="474">
        <f t="shared" si="3"/>
        <v>23857.3</v>
      </c>
    </row>
    <row r="103" spans="1:13" ht="12.75" outlineLevel="1">
      <c r="A103" s="424" t="s">
        <v>2242</v>
      </c>
      <c r="C103" s="471"/>
      <c r="D103" s="471"/>
      <c r="E103" s="460" t="s">
        <v>2243</v>
      </c>
      <c r="F103" s="472" t="str">
        <f t="shared" si="2"/>
        <v>JOHNS ENDOWED SCHP</v>
      </c>
      <c r="G103" s="473">
        <v>521415.55</v>
      </c>
      <c r="H103" s="474">
        <v>0</v>
      </c>
      <c r="I103" s="474">
        <v>-10030.23</v>
      </c>
      <c r="J103" s="474">
        <v>50787.37</v>
      </c>
      <c r="K103" s="474">
        <v>0</v>
      </c>
      <c r="L103" s="474">
        <v>0</v>
      </c>
      <c r="M103" s="474">
        <f t="shared" si="3"/>
        <v>562172.6900000001</v>
      </c>
    </row>
    <row r="104" spans="1:13" ht="12.75" outlineLevel="1">
      <c r="A104" s="424" t="s">
        <v>2244</v>
      </c>
      <c r="C104" s="471"/>
      <c r="D104" s="471"/>
      <c r="E104" s="460" t="s">
        <v>2245</v>
      </c>
      <c r="F104" s="445" t="str">
        <f t="shared" si="2"/>
        <v>JAMES JOHNSON SCHP</v>
      </c>
      <c r="G104" s="521">
        <v>93244.01</v>
      </c>
      <c r="H104" s="474">
        <v>925</v>
      </c>
      <c r="I104" s="474">
        <v>-1644.43</v>
      </c>
      <c r="J104" s="474">
        <v>9104.49</v>
      </c>
      <c r="K104" s="474">
        <v>0</v>
      </c>
      <c r="L104" s="474">
        <v>0</v>
      </c>
      <c r="M104" s="474">
        <f t="shared" si="3"/>
        <v>101629.07</v>
      </c>
    </row>
    <row r="105" spans="1:13" ht="12.75" outlineLevel="1">
      <c r="A105" s="424" t="s">
        <v>2246</v>
      </c>
      <c r="C105" s="471"/>
      <c r="D105" s="471"/>
      <c r="E105" s="460" t="s">
        <v>2247</v>
      </c>
      <c r="F105" s="445" t="str">
        <f t="shared" si="2"/>
        <v>KRUEGER ATH SCHP</v>
      </c>
      <c r="G105" s="521">
        <v>19003.04</v>
      </c>
      <c r="H105" s="474">
        <v>300</v>
      </c>
      <c r="I105" s="474">
        <v>-352.02</v>
      </c>
      <c r="J105" s="474">
        <v>1857.03</v>
      </c>
      <c r="K105" s="474">
        <v>0</v>
      </c>
      <c r="L105" s="474">
        <v>0</v>
      </c>
      <c r="M105" s="474">
        <f t="shared" si="3"/>
        <v>20808.05</v>
      </c>
    </row>
    <row r="106" spans="1:13" ht="12.75" outlineLevel="1">
      <c r="A106" s="424" t="s">
        <v>2248</v>
      </c>
      <c r="C106" s="471"/>
      <c r="D106" s="471"/>
      <c r="E106" s="460" t="s">
        <v>2249</v>
      </c>
      <c r="F106" s="472" t="str">
        <f t="shared" si="2"/>
        <v>JAMIESON ENDOW SCHP</v>
      </c>
      <c r="G106" s="473">
        <v>115189.74</v>
      </c>
      <c r="H106" s="474">
        <v>0</v>
      </c>
      <c r="I106" s="474">
        <v>-2215.86</v>
      </c>
      <c r="J106" s="474">
        <v>11219.82</v>
      </c>
      <c r="K106" s="474">
        <v>0</v>
      </c>
      <c r="L106" s="474">
        <v>0</v>
      </c>
      <c r="M106" s="474">
        <f t="shared" si="3"/>
        <v>124193.70000000001</v>
      </c>
    </row>
    <row r="107" spans="1:13" ht="12.75" outlineLevel="1">
      <c r="A107" s="424" t="s">
        <v>2250</v>
      </c>
      <c r="C107" s="471"/>
      <c r="D107" s="471"/>
      <c r="E107" s="460" t="s">
        <v>2251</v>
      </c>
      <c r="F107" s="472" t="str">
        <f t="shared" si="2"/>
        <v>JONES ENDOWED PROF</v>
      </c>
      <c r="G107" s="473">
        <v>965344.98</v>
      </c>
      <c r="H107" s="474">
        <v>0</v>
      </c>
      <c r="I107" s="474">
        <v>-18569.91</v>
      </c>
      <c r="J107" s="474">
        <v>94027.39</v>
      </c>
      <c r="K107" s="474">
        <v>0</v>
      </c>
      <c r="L107" s="474">
        <v>0</v>
      </c>
      <c r="M107" s="474">
        <f t="shared" si="3"/>
        <v>1040802.46</v>
      </c>
    </row>
    <row r="108" spans="1:13" ht="12.75" outlineLevel="1">
      <c r="A108" s="424" t="s">
        <v>2252</v>
      </c>
      <c r="C108" s="471"/>
      <c r="D108" s="471"/>
      <c r="E108" s="460" t="s">
        <v>2253</v>
      </c>
      <c r="F108" s="472" t="str">
        <f t="shared" si="2"/>
        <v>KAISER SCH-MECH ENGR</v>
      </c>
      <c r="G108" s="473">
        <v>703782.66</v>
      </c>
      <c r="H108" s="474">
        <v>0</v>
      </c>
      <c r="I108" s="474">
        <v>-13538.33</v>
      </c>
      <c r="J108" s="474">
        <v>68550.48</v>
      </c>
      <c r="K108" s="474">
        <v>0</v>
      </c>
      <c r="L108" s="474">
        <v>0</v>
      </c>
      <c r="M108" s="474">
        <f t="shared" si="3"/>
        <v>758794.81</v>
      </c>
    </row>
    <row r="109" spans="1:13" ht="12.75" outlineLevel="1">
      <c r="A109" s="424" t="s">
        <v>2254</v>
      </c>
      <c r="C109" s="471"/>
      <c r="D109" s="471"/>
      <c r="E109" s="460" t="s">
        <v>2255</v>
      </c>
      <c r="F109" s="472" t="str">
        <f t="shared" si="2"/>
        <v>HIGHFILL SCHP</v>
      </c>
      <c r="G109" s="473">
        <v>12323.6</v>
      </c>
      <c r="H109" s="474">
        <v>0</v>
      </c>
      <c r="I109" s="474">
        <v>-237.06</v>
      </c>
      <c r="J109" s="474">
        <v>1200.35</v>
      </c>
      <c r="K109" s="474">
        <v>0</v>
      </c>
      <c r="L109" s="474">
        <v>0</v>
      </c>
      <c r="M109" s="474">
        <f t="shared" si="3"/>
        <v>13286.890000000001</v>
      </c>
    </row>
    <row r="110" spans="1:13" ht="12.75" outlineLevel="1">
      <c r="A110" s="424" t="s">
        <v>2256</v>
      </c>
      <c r="C110" s="471"/>
      <c r="D110" s="471"/>
      <c r="E110" s="460" t="s">
        <v>2257</v>
      </c>
      <c r="F110" s="472" t="str">
        <f t="shared" si="2"/>
        <v>M J KELLY SCHP</v>
      </c>
      <c r="G110" s="473">
        <v>90028.72</v>
      </c>
      <c r="H110" s="474">
        <v>0</v>
      </c>
      <c r="I110" s="474">
        <v>-1731.83</v>
      </c>
      <c r="J110" s="474">
        <v>8769.05</v>
      </c>
      <c r="K110" s="474">
        <v>0</v>
      </c>
      <c r="L110" s="474">
        <v>0</v>
      </c>
      <c r="M110" s="474">
        <f t="shared" si="3"/>
        <v>97065.94</v>
      </c>
    </row>
    <row r="111" spans="1:13" ht="12.75" outlineLevel="1">
      <c r="A111" s="424" t="s">
        <v>2258</v>
      </c>
      <c r="C111" s="471"/>
      <c r="D111" s="471"/>
      <c r="E111" s="460" t="s">
        <v>2259</v>
      </c>
      <c r="F111" s="472" t="str">
        <f t="shared" si="2"/>
        <v>KITCHEN ATHLETIC SHP</v>
      </c>
      <c r="G111" s="473">
        <v>137381.74</v>
      </c>
      <c r="H111" s="474">
        <v>0</v>
      </c>
      <c r="I111" s="474">
        <v>-2640.28</v>
      </c>
      <c r="J111" s="474">
        <v>13381.61</v>
      </c>
      <c r="K111" s="474">
        <v>0</v>
      </c>
      <c r="L111" s="474">
        <v>0</v>
      </c>
      <c r="M111" s="474">
        <f t="shared" si="3"/>
        <v>148123.07</v>
      </c>
    </row>
    <row r="112" spans="1:13" ht="12.75" outlineLevel="1">
      <c r="A112" s="424" t="s">
        <v>2260</v>
      </c>
      <c r="C112" s="471"/>
      <c r="D112" s="471"/>
      <c r="E112" s="460" t="s">
        <v>2261</v>
      </c>
      <c r="F112" s="472" t="str">
        <f t="shared" si="2"/>
        <v>MARTIN LUTHER KING</v>
      </c>
      <c r="G112" s="473">
        <v>229683.01</v>
      </c>
      <c r="H112" s="474">
        <v>240</v>
      </c>
      <c r="I112" s="474">
        <v>-4411.86</v>
      </c>
      <c r="J112" s="474">
        <v>22371.58</v>
      </c>
      <c r="K112" s="474">
        <v>0</v>
      </c>
      <c r="L112" s="474">
        <v>0</v>
      </c>
      <c r="M112" s="474">
        <f t="shared" si="3"/>
        <v>247882.73000000004</v>
      </c>
    </row>
    <row r="113" spans="1:13" ht="12.75" outlineLevel="1">
      <c r="A113" s="424" t="s">
        <v>2262</v>
      </c>
      <c r="C113" s="471"/>
      <c r="D113" s="471"/>
      <c r="E113" s="460" t="s">
        <v>2263</v>
      </c>
      <c r="F113" s="472" t="str">
        <f t="shared" si="2"/>
        <v>KRAUS MEM SCHP</v>
      </c>
      <c r="G113" s="473">
        <v>50220.19</v>
      </c>
      <c r="H113" s="474">
        <v>0</v>
      </c>
      <c r="I113" s="474">
        <v>-966.05</v>
      </c>
      <c r="J113" s="474">
        <v>4891.6</v>
      </c>
      <c r="K113" s="474">
        <v>0</v>
      </c>
      <c r="L113" s="474">
        <v>0</v>
      </c>
      <c r="M113" s="474">
        <f t="shared" si="3"/>
        <v>54145.74</v>
      </c>
    </row>
    <row r="114" spans="1:13" ht="12.75" outlineLevel="1">
      <c r="A114" s="424" t="s">
        <v>2264</v>
      </c>
      <c r="C114" s="471"/>
      <c r="D114" s="471"/>
      <c r="E114" s="460" t="s">
        <v>2265</v>
      </c>
      <c r="F114" s="472" t="str">
        <f t="shared" si="2"/>
        <v>HARLEY LADD SCHP</v>
      </c>
      <c r="G114" s="473">
        <v>38820.51</v>
      </c>
      <c r="H114" s="474">
        <v>0</v>
      </c>
      <c r="I114" s="474">
        <v>-746.78</v>
      </c>
      <c r="J114" s="474">
        <v>3781.22</v>
      </c>
      <c r="K114" s="474">
        <v>0</v>
      </c>
      <c r="L114" s="474">
        <v>0</v>
      </c>
      <c r="M114" s="474">
        <f t="shared" si="3"/>
        <v>41854.950000000004</v>
      </c>
    </row>
    <row r="115" spans="1:13" ht="12.75" outlineLevel="1">
      <c r="A115" s="424" t="s">
        <v>2266</v>
      </c>
      <c r="C115" s="471"/>
      <c r="D115" s="471"/>
      <c r="E115" s="460" t="s">
        <v>2267</v>
      </c>
      <c r="F115" s="472" t="str">
        <f t="shared" si="2"/>
        <v>LANG FAMILY SCHP</v>
      </c>
      <c r="G115" s="473">
        <v>109787.79</v>
      </c>
      <c r="H115" s="474">
        <v>2000</v>
      </c>
      <c r="I115" s="474">
        <v>-2036.56</v>
      </c>
      <c r="J115" s="474">
        <v>10694.29</v>
      </c>
      <c r="K115" s="474">
        <v>0</v>
      </c>
      <c r="L115" s="474">
        <v>0</v>
      </c>
      <c r="M115" s="474">
        <f t="shared" si="3"/>
        <v>120445.51999999999</v>
      </c>
    </row>
    <row r="116" spans="1:13" ht="12.75" outlineLevel="1">
      <c r="A116" s="424" t="s">
        <v>2268</v>
      </c>
      <c r="C116" s="471"/>
      <c r="D116" s="471"/>
      <c r="E116" s="460" t="s">
        <v>2269</v>
      </c>
      <c r="F116" s="472" t="str">
        <f t="shared" si="2"/>
        <v>LARKIN MEMORIAL SCH</v>
      </c>
      <c r="G116" s="473">
        <v>23620.01</v>
      </c>
      <c r="H116" s="474">
        <v>0</v>
      </c>
      <c r="I116" s="474">
        <v>-454.37</v>
      </c>
      <c r="J116" s="474">
        <v>2300.65</v>
      </c>
      <c r="K116" s="474">
        <v>0</v>
      </c>
      <c r="L116" s="474">
        <v>0</v>
      </c>
      <c r="M116" s="474">
        <f t="shared" si="3"/>
        <v>25466.29</v>
      </c>
    </row>
    <row r="117" spans="1:13" ht="12.75" outlineLevel="1">
      <c r="A117" s="424" t="s">
        <v>2270</v>
      </c>
      <c r="C117" s="471"/>
      <c r="D117" s="471"/>
      <c r="E117" s="460" t="s">
        <v>2271</v>
      </c>
      <c r="F117" s="472" t="str">
        <f t="shared" si="2"/>
        <v>LASKO ENDOWED SCHP</v>
      </c>
      <c r="G117" s="473">
        <v>67338.78</v>
      </c>
      <c r="H117" s="474">
        <v>11021</v>
      </c>
      <c r="I117" s="474">
        <v>-799.66</v>
      </c>
      <c r="J117" s="474">
        <v>6957.17</v>
      </c>
      <c r="K117" s="474">
        <v>0</v>
      </c>
      <c r="L117" s="474">
        <v>0</v>
      </c>
      <c r="M117" s="474">
        <f t="shared" si="3"/>
        <v>84517.29</v>
      </c>
    </row>
    <row r="118" spans="1:13" ht="12.75" outlineLevel="1">
      <c r="A118" s="424" t="s">
        <v>2272</v>
      </c>
      <c r="C118" s="471"/>
      <c r="D118" s="471"/>
      <c r="E118" s="460" t="s">
        <v>2273</v>
      </c>
      <c r="F118" s="472" t="str">
        <f t="shared" si="2"/>
        <v>M B LAYNE SCHP</v>
      </c>
      <c r="G118" s="473">
        <v>26726.04</v>
      </c>
      <c r="H118" s="474">
        <v>0</v>
      </c>
      <c r="I118" s="474">
        <v>-514.12</v>
      </c>
      <c r="J118" s="474">
        <v>2603.17</v>
      </c>
      <c r="K118" s="474">
        <v>0</v>
      </c>
      <c r="L118" s="474">
        <v>0</v>
      </c>
      <c r="M118" s="474">
        <f t="shared" si="3"/>
        <v>28815.090000000004</v>
      </c>
    </row>
    <row r="119" spans="1:13" ht="12.75" outlineLevel="1">
      <c r="A119" s="424" t="s">
        <v>2274</v>
      </c>
      <c r="C119" s="471"/>
      <c r="D119" s="471"/>
      <c r="E119" s="460" t="s">
        <v>2275</v>
      </c>
      <c r="F119" s="472" t="str">
        <f t="shared" si="2"/>
        <v>LEAVER ENDOWED SCHP</v>
      </c>
      <c r="G119" s="473">
        <v>34756.38</v>
      </c>
      <c r="H119" s="474">
        <v>1000</v>
      </c>
      <c r="I119" s="474">
        <v>-656.8</v>
      </c>
      <c r="J119" s="474">
        <v>3373.95</v>
      </c>
      <c r="K119" s="474">
        <v>0</v>
      </c>
      <c r="L119" s="474">
        <v>0</v>
      </c>
      <c r="M119" s="474">
        <f t="shared" si="3"/>
        <v>38473.52999999999</v>
      </c>
    </row>
    <row r="120" spans="1:13" ht="12.75" outlineLevel="1">
      <c r="A120" s="424" t="s">
        <v>2276</v>
      </c>
      <c r="C120" s="471"/>
      <c r="D120" s="471"/>
      <c r="E120" s="460" t="s">
        <v>2277</v>
      </c>
      <c r="F120" s="472" t="str">
        <f t="shared" si="2"/>
        <v>LOVETT EE SCHP</v>
      </c>
      <c r="G120" s="473">
        <v>68799.76</v>
      </c>
      <c r="H120" s="474">
        <v>0</v>
      </c>
      <c r="I120" s="474">
        <v>-1323.46</v>
      </c>
      <c r="J120" s="474">
        <v>6701.31</v>
      </c>
      <c r="K120" s="474">
        <v>0</v>
      </c>
      <c r="L120" s="474">
        <v>0</v>
      </c>
      <c r="M120" s="474">
        <f t="shared" si="3"/>
        <v>74177.60999999999</v>
      </c>
    </row>
    <row r="121" spans="1:13" ht="12.75" outlineLevel="1">
      <c r="A121" s="424" t="s">
        <v>2278</v>
      </c>
      <c r="C121" s="471"/>
      <c r="D121" s="471"/>
      <c r="E121" s="460" t="s">
        <v>2279</v>
      </c>
      <c r="F121" s="472" t="str">
        <f t="shared" si="2"/>
        <v>F &amp; J LYONS END SCHP</v>
      </c>
      <c r="G121" s="473">
        <v>48914.26</v>
      </c>
      <c r="H121" s="474">
        <v>0</v>
      </c>
      <c r="I121" s="474">
        <v>-940.93</v>
      </c>
      <c r="J121" s="474">
        <v>4764.39</v>
      </c>
      <c r="K121" s="474">
        <v>0</v>
      </c>
      <c r="L121" s="474">
        <v>0</v>
      </c>
      <c r="M121" s="474">
        <f t="shared" si="3"/>
        <v>52737.72</v>
      </c>
    </row>
    <row r="122" spans="1:13" ht="12.75" outlineLevel="1">
      <c r="A122" s="424" t="s">
        <v>2280</v>
      </c>
      <c r="C122" s="471"/>
      <c r="D122" s="471"/>
      <c r="E122" s="460" t="s">
        <v>2281</v>
      </c>
      <c r="F122" s="472" t="str">
        <f t="shared" si="2"/>
        <v>F M MACKLIN MEM FD</v>
      </c>
      <c r="G122" s="473">
        <v>226521.27</v>
      </c>
      <c r="H122" s="474">
        <v>0</v>
      </c>
      <c r="I122" s="474">
        <v>0</v>
      </c>
      <c r="J122" s="474">
        <v>-9512.69</v>
      </c>
      <c r="K122" s="474">
        <v>0</v>
      </c>
      <c r="L122" s="474">
        <v>0</v>
      </c>
      <c r="M122" s="474">
        <f t="shared" si="3"/>
        <v>217008.58</v>
      </c>
    </row>
    <row r="123" spans="1:13" ht="12.75" outlineLevel="1">
      <c r="A123" s="424" t="s">
        <v>2282</v>
      </c>
      <c r="C123" s="471"/>
      <c r="D123" s="471"/>
      <c r="E123" s="460" t="s">
        <v>2283</v>
      </c>
      <c r="F123" s="472" t="str">
        <f t="shared" si="2"/>
        <v>MARCHELLO SCHP</v>
      </c>
      <c r="G123" s="473">
        <v>11414.49</v>
      </c>
      <c r="H123" s="474">
        <v>0</v>
      </c>
      <c r="I123" s="474">
        <v>-219.57</v>
      </c>
      <c r="J123" s="474">
        <v>1111.79</v>
      </c>
      <c r="K123" s="474">
        <v>0</v>
      </c>
      <c r="L123" s="474">
        <v>0</v>
      </c>
      <c r="M123" s="474">
        <f t="shared" si="3"/>
        <v>12306.71</v>
      </c>
    </row>
    <row r="124" spans="1:13" ht="12.75" outlineLevel="1">
      <c r="A124" s="424" t="s">
        <v>2284</v>
      </c>
      <c r="C124" s="471"/>
      <c r="D124" s="471"/>
      <c r="E124" s="460" t="s">
        <v>2285</v>
      </c>
      <c r="F124" s="472" t="str">
        <f t="shared" si="2"/>
        <v>MCNABB END SCHP</v>
      </c>
      <c r="G124" s="473">
        <v>28103.69</v>
      </c>
      <c r="H124" s="474">
        <v>0</v>
      </c>
      <c r="I124" s="474">
        <v>-542.56</v>
      </c>
      <c r="J124" s="474">
        <v>2738.71</v>
      </c>
      <c r="K124" s="474">
        <v>0</v>
      </c>
      <c r="L124" s="474">
        <v>0</v>
      </c>
      <c r="M124" s="474">
        <f t="shared" si="3"/>
        <v>30299.839999999997</v>
      </c>
    </row>
    <row r="125" spans="1:13" ht="12.75" outlineLevel="1">
      <c r="A125" s="424" t="s">
        <v>2286</v>
      </c>
      <c r="C125" s="471"/>
      <c r="D125" s="471"/>
      <c r="E125" s="460" t="s">
        <v>2287</v>
      </c>
      <c r="F125" s="472" t="str">
        <f t="shared" si="2"/>
        <v>MAX MCCRORY SCHP</v>
      </c>
      <c r="G125" s="473">
        <v>87029.5</v>
      </c>
      <c r="H125" s="474">
        <v>0</v>
      </c>
      <c r="I125" s="474">
        <v>-1674.16</v>
      </c>
      <c r="J125" s="474">
        <v>8476.93</v>
      </c>
      <c r="K125" s="474">
        <v>0</v>
      </c>
      <c r="L125" s="474">
        <v>0</v>
      </c>
      <c r="M125" s="474">
        <f t="shared" si="3"/>
        <v>93832.26999999999</v>
      </c>
    </row>
    <row r="126" spans="1:13" ht="12.75" outlineLevel="1">
      <c r="A126" s="424" t="s">
        <v>2288</v>
      </c>
      <c r="C126" s="471"/>
      <c r="D126" s="471"/>
      <c r="E126" s="460" t="s">
        <v>2289</v>
      </c>
      <c r="F126" s="472" t="str">
        <f t="shared" si="2"/>
        <v>HASSELMANN SCHP FD</v>
      </c>
      <c r="G126" s="473">
        <v>4256902.24</v>
      </c>
      <c r="H126" s="474">
        <v>0</v>
      </c>
      <c r="I126" s="474">
        <v>-81148.75</v>
      </c>
      <c r="J126" s="474">
        <v>414653.87</v>
      </c>
      <c r="K126" s="474">
        <v>0</v>
      </c>
      <c r="L126" s="474">
        <v>0</v>
      </c>
      <c r="M126" s="474">
        <f t="shared" si="3"/>
        <v>4590407.36</v>
      </c>
    </row>
    <row r="127" spans="1:13" ht="12.75" outlineLevel="1">
      <c r="A127" s="424" t="s">
        <v>2290</v>
      </c>
      <c r="C127" s="471"/>
      <c r="D127" s="471"/>
      <c r="E127" s="460" t="s">
        <v>2291</v>
      </c>
      <c r="F127" s="472" t="str">
        <f t="shared" si="2"/>
        <v>MCKEE SCHP</v>
      </c>
      <c r="G127" s="473">
        <v>77720.24</v>
      </c>
      <c r="H127" s="474">
        <v>0</v>
      </c>
      <c r="I127" s="474">
        <v>-1495.07</v>
      </c>
      <c r="J127" s="474">
        <v>7570.17</v>
      </c>
      <c r="K127" s="474">
        <v>0</v>
      </c>
      <c r="L127" s="474">
        <v>0</v>
      </c>
      <c r="M127" s="474">
        <f t="shared" si="3"/>
        <v>83795.34</v>
      </c>
    </row>
    <row r="128" spans="1:13" ht="12.75" outlineLevel="1">
      <c r="A128" s="424" t="s">
        <v>2292</v>
      </c>
      <c r="C128" s="471"/>
      <c r="D128" s="471"/>
      <c r="E128" s="460" t="s">
        <v>2293</v>
      </c>
      <c r="F128" s="472" t="str">
        <f t="shared" si="2"/>
        <v>MENTZ SCHP</v>
      </c>
      <c r="G128" s="473">
        <v>274693.21</v>
      </c>
      <c r="H128" s="474">
        <v>0</v>
      </c>
      <c r="I128" s="474">
        <v>-5284.14</v>
      </c>
      <c r="J128" s="474">
        <v>26755.92</v>
      </c>
      <c r="K128" s="474">
        <v>0</v>
      </c>
      <c r="L128" s="474">
        <v>0</v>
      </c>
      <c r="M128" s="474">
        <f t="shared" si="3"/>
        <v>296164.99</v>
      </c>
    </row>
    <row r="129" spans="1:13" ht="12.75" outlineLevel="1">
      <c r="A129" s="424" t="s">
        <v>2294</v>
      </c>
      <c r="C129" s="471"/>
      <c r="D129" s="471"/>
      <c r="E129" s="460" t="s">
        <v>2295</v>
      </c>
      <c r="F129" s="472" t="str">
        <f t="shared" si="2"/>
        <v>METAL ENGR ALUM SCHP</v>
      </c>
      <c r="G129" s="473">
        <v>38425.51</v>
      </c>
      <c r="H129" s="474">
        <v>0</v>
      </c>
      <c r="I129" s="474">
        <v>-739.17</v>
      </c>
      <c r="J129" s="474">
        <v>3742.74</v>
      </c>
      <c r="K129" s="474">
        <v>0</v>
      </c>
      <c r="L129" s="474">
        <v>0</v>
      </c>
      <c r="M129" s="474">
        <f t="shared" si="3"/>
        <v>41429.08</v>
      </c>
    </row>
    <row r="130" spans="1:13" ht="12.75" outlineLevel="1">
      <c r="A130" s="424" t="s">
        <v>2296</v>
      </c>
      <c r="C130" s="471"/>
      <c r="D130" s="471"/>
      <c r="E130" s="460" t="s">
        <v>2297</v>
      </c>
      <c r="F130" s="472" t="str">
        <f t="shared" si="2"/>
        <v>MYERS ENDOWED SCHP</v>
      </c>
      <c r="G130" s="473">
        <v>12951.04</v>
      </c>
      <c r="H130" s="474">
        <v>375</v>
      </c>
      <c r="I130" s="474">
        <v>-243.8</v>
      </c>
      <c r="J130" s="474">
        <v>1254.61</v>
      </c>
      <c r="K130" s="474">
        <v>0</v>
      </c>
      <c r="L130" s="474">
        <v>0</v>
      </c>
      <c r="M130" s="474">
        <f t="shared" si="3"/>
        <v>14336.850000000002</v>
      </c>
    </row>
    <row r="131" spans="1:13" ht="12.75" outlineLevel="1">
      <c r="A131" s="424" t="s">
        <v>2298</v>
      </c>
      <c r="C131" s="471"/>
      <c r="D131" s="471"/>
      <c r="E131" s="460" t="s">
        <v>2299</v>
      </c>
      <c r="F131" s="472" t="str">
        <f t="shared" si="2"/>
        <v>A J MILES MEM SCHP</v>
      </c>
      <c r="G131" s="473">
        <v>63893.43</v>
      </c>
      <c r="H131" s="474">
        <v>0</v>
      </c>
      <c r="I131" s="474">
        <v>-1229.1</v>
      </c>
      <c r="J131" s="474">
        <v>6223.41</v>
      </c>
      <c r="K131" s="474">
        <v>0</v>
      </c>
      <c r="L131" s="474">
        <v>0</v>
      </c>
      <c r="M131" s="474">
        <f t="shared" si="3"/>
        <v>68887.74</v>
      </c>
    </row>
    <row r="132" spans="1:13" ht="12.75" outlineLevel="1">
      <c r="A132" s="424" t="s">
        <v>2300</v>
      </c>
      <c r="C132" s="471"/>
      <c r="D132" s="471"/>
      <c r="E132" s="460" t="s">
        <v>2301</v>
      </c>
      <c r="F132" s="472" t="str">
        <f t="shared" si="2"/>
        <v>B MILLER MEM SCHP</v>
      </c>
      <c r="G132" s="473">
        <v>14619.31</v>
      </c>
      <c r="H132" s="474">
        <v>0</v>
      </c>
      <c r="I132" s="474">
        <v>0</v>
      </c>
      <c r="J132" s="474">
        <v>-613.93</v>
      </c>
      <c r="K132" s="474">
        <v>0</v>
      </c>
      <c r="L132" s="474">
        <v>0</v>
      </c>
      <c r="M132" s="474">
        <f t="shared" si="3"/>
        <v>14005.38</v>
      </c>
    </row>
    <row r="133" spans="1:13" ht="12.75" outlineLevel="1">
      <c r="A133" s="424" t="s">
        <v>2302</v>
      </c>
      <c r="C133" s="471"/>
      <c r="D133" s="471"/>
      <c r="E133" s="460" t="s">
        <v>2303</v>
      </c>
      <c r="F133" s="472" t="str">
        <f t="shared" si="2"/>
        <v>MONSANTO TBP AWARD</v>
      </c>
      <c r="G133" s="473">
        <v>613.55</v>
      </c>
      <c r="H133" s="474">
        <v>0</v>
      </c>
      <c r="I133" s="474">
        <v>0</v>
      </c>
      <c r="J133" s="474">
        <v>-25.76</v>
      </c>
      <c r="K133" s="474">
        <v>0</v>
      </c>
      <c r="L133" s="474">
        <v>0</v>
      </c>
      <c r="M133" s="474">
        <f t="shared" si="3"/>
        <v>587.79</v>
      </c>
    </row>
    <row r="134" spans="1:13" ht="12.75" outlineLevel="1">
      <c r="A134" s="424" t="s">
        <v>2304</v>
      </c>
      <c r="C134" s="471"/>
      <c r="D134" s="471"/>
      <c r="E134" s="460" t="s">
        <v>2305</v>
      </c>
      <c r="F134" s="472" t="str">
        <f t="shared" si="2"/>
        <v>MONTGOMERY SCHP</v>
      </c>
      <c r="G134" s="473">
        <v>24008.51</v>
      </c>
      <c r="H134" s="474">
        <v>0</v>
      </c>
      <c r="I134" s="474">
        <v>-461.84</v>
      </c>
      <c r="J134" s="474">
        <v>2338.5</v>
      </c>
      <c r="K134" s="474">
        <v>0</v>
      </c>
      <c r="L134" s="474">
        <v>0</v>
      </c>
      <c r="M134" s="474">
        <f t="shared" si="3"/>
        <v>25885.17</v>
      </c>
    </row>
    <row r="135" spans="1:13" ht="12.75" outlineLevel="1">
      <c r="A135" s="424" t="s">
        <v>2306</v>
      </c>
      <c r="C135" s="471"/>
      <c r="D135" s="471"/>
      <c r="E135" s="460" t="s">
        <v>2307</v>
      </c>
      <c r="F135" s="472" t="str">
        <f t="shared" si="2"/>
        <v>MORGAN SCHP</v>
      </c>
      <c r="G135" s="473">
        <v>30014.37</v>
      </c>
      <c r="H135" s="474">
        <v>100</v>
      </c>
      <c r="I135" s="474">
        <v>-574.33</v>
      </c>
      <c r="J135" s="474">
        <v>2921.36</v>
      </c>
      <c r="K135" s="474">
        <v>0</v>
      </c>
      <c r="L135" s="474">
        <v>0</v>
      </c>
      <c r="M135" s="474">
        <f t="shared" si="3"/>
        <v>32461.399999999998</v>
      </c>
    </row>
    <row r="136" spans="1:13" ht="12.75" outlineLevel="1">
      <c r="A136" s="424" t="s">
        <v>2308</v>
      </c>
      <c r="C136" s="471"/>
      <c r="D136" s="471"/>
      <c r="E136" s="460" t="s">
        <v>2309</v>
      </c>
      <c r="F136" s="472" t="str">
        <f t="shared" si="2"/>
        <v>MORGAN AND GEOLOGY</v>
      </c>
      <c r="G136" s="473">
        <v>30217.91</v>
      </c>
      <c r="H136" s="474">
        <v>1880</v>
      </c>
      <c r="I136" s="474">
        <v>41.2</v>
      </c>
      <c r="J136" s="474">
        <v>-1775.49</v>
      </c>
      <c r="K136" s="474">
        <v>0</v>
      </c>
      <c r="L136" s="474">
        <v>0</v>
      </c>
      <c r="M136" s="474">
        <f t="shared" si="3"/>
        <v>30363.62</v>
      </c>
    </row>
    <row r="137" spans="1:13" ht="12.75" outlineLevel="1">
      <c r="A137" s="424" t="s">
        <v>2310</v>
      </c>
      <c r="C137" s="471"/>
      <c r="D137" s="471"/>
      <c r="E137" s="460" t="s">
        <v>2311</v>
      </c>
      <c r="F137" s="472" t="str">
        <f t="shared" si="2"/>
        <v>MURPHY COMPANY SCHOL</v>
      </c>
      <c r="G137" s="473">
        <v>121370.34</v>
      </c>
      <c r="H137" s="474">
        <v>10000</v>
      </c>
      <c r="I137" s="474">
        <v>-1877.15</v>
      </c>
      <c r="J137" s="474">
        <v>12498.11</v>
      </c>
      <c r="K137" s="474">
        <v>0</v>
      </c>
      <c r="L137" s="474">
        <v>0</v>
      </c>
      <c r="M137" s="474">
        <f t="shared" si="3"/>
        <v>141991.3</v>
      </c>
    </row>
    <row r="138" spans="1:13" ht="12.75" outlineLevel="1">
      <c r="A138" s="424" t="s">
        <v>2312</v>
      </c>
      <c r="C138" s="471"/>
      <c r="D138" s="471"/>
      <c r="E138" s="460" t="s">
        <v>2313</v>
      </c>
      <c r="F138" s="472" t="str">
        <f t="shared" si="2"/>
        <v>NAU SCHOLARSHIP</v>
      </c>
      <c r="G138" s="473">
        <v>83757.9</v>
      </c>
      <c r="H138" s="474">
        <v>0</v>
      </c>
      <c r="I138" s="474">
        <v>-1611.21</v>
      </c>
      <c r="J138" s="474">
        <v>8158.25</v>
      </c>
      <c r="K138" s="474">
        <v>0</v>
      </c>
      <c r="L138" s="474">
        <v>0</v>
      </c>
      <c r="M138" s="474">
        <f t="shared" si="3"/>
        <v>90304.93999999999</v>
      </c>
    </row>
    <row r="139" spans="1:13" ht="12.75" outlineLevel="1">
      <c r="A139" s="424" t="s">
        <v>2314</v>
      </c>
      <c r="C139" s="471"/>
      <c r="D139" s="471"/>
      <c r="E139" s="460" t="s">
        <v>2315</v>
      </c>
      <c r="F139" s="472" t="str">
        <f aca="true" t="shared" si="4" ref="F139:F202">UPPER(E139)</f>
        <v>E R NEEDLES SCH-C E</v>
      </c>
      <c r="G139" s="473">
        <v>78332.61</v>
      </c>
      <c r="H139" s="474">
        <v>0</v>
      </c>
      <c r="I139" s="474">
        <v>-1507.19</v>
      </c>
      <c r="J139" s="474">
        <v>7630.17</v>
      </c>
      <c r="K139" s="474">
        <v>29.77</v>
      </c>
      <c r="L139" s="474">
        <v>0</v>
      </c>
      <c r="M139" s="474">
        <f aca="true" t="shared" si="5" ref="M139:M202">G139+H139+I139+J139-K139+L139</f>
        <v>84425.81999999999</v>
      </c>
    </row>
    <row r="140" spans="1:13" ht="12.75" outlineLevel="1">
      <c r="A140" s="424" t="s">
        <v>2316</v>
      </c>
      <c r="C140" s="471"/>
      <c r="D140" s="471"/>
      <c r="E140" s="460" t="s">
        <v>2317</v>
      </c>
      <c r="F140" s="472" t="str">
        <f t="shared" si="4"/>
        <v>E R NEEDLES SPEECH</v>
      </c>
      <c r="G140" s="473">
        <v>6015.47</v>
      </c>
      <c r="H140" s="474">
        <v>0</v>
      </c>
      <c r="I140" s="474">
        <v>-115.7</v>
      </c>
      <c r="J140" s="474">
        <v>585.92</v>
      </c>
      <c r="K140" s="474">
        <v>0</v>
      </c>
      <c r="L140" s="474">
        <v>0</v>
      </c>
      <c r="M140" s="474">
        <f t="shared" si="5"/>
        <v>6485.6900000000005</v>
      </c>
    </row>
    <row r="141" spans="1:13" ht="12.75" outlineLevel="1">
      <c r="A141" s="424" t="s">
        <v>2318</v>
      </c>
      <c r="C141" s="471"/>
      <c r="D141" s="471"/>
      <c r="E141" s="460" t="s">
        <v>2319</v>
      </c>
      <c r="F141" s="472" t="str">
        <f t="shared" si="4"/>
        <v>NEVINS END SCHP</v>
      </c>
      <c r="G141" s="473">
        <v>862.52</v>
      </c>
      <c r="H141" s="474">
        <v>4500</v>
      </c>
      <c r="I141" s="474">
        <v>132.87</v>
      </c>
      <c r="J141" s="474">
        <v>129.23</v>
      </c>
      <c r="K141" s="474">
        <v>0</v>
      </c>
      <c r="L141" s="474">
        <v>0</v>
      </c>
      <c r="M141" s="474">
        <f t="shared" si="5"/>
        <v>5624.62</v>
      </c>
    </row>
    <row r="142" spans="1:13" ht="12.75" outlineLevel="1">
      <c r="A142" s="424" t="s">
        <v>2320</v>
      </c>
      <c r="C142" s="471"/>
      <c r="D142" s="471"/>
      <c r="E142" s="460" t="s">
        <v>2321</v>
      </c>
      <c r="F142" s="472" t="str">
        <f t="shared" si="4"/>
        <v>NICODEMUS ACAD ATH</v>
      </c>
      <c r="G142" s="473">
        <v>59652.64</v>
      </c>
      <c r="H142" s="474">
        <v>425</v>
      </c>
      <c r="I142" s="474">
        <v>-1038.89</v>
      </c>
      <c r="J142" s="474">
        <v>5805.02</v>
      </c>
      <c r="K142" s="474">
        <v>0</v>
      </c>
      <c r="L142" s="474">
        <v>0</v>
      </c>
      <c r="M142" s="474">
        <f t="shared" si="5"/>
        <v>64843.770000000004</v>
      </c>
    </row>
    <row r="143" spans="1:13" ht="12.75" outlineLevel="1">
      <c r="A143" s="424" t="s">
        <v>2322</v>
      </c>
      <c r="C143" s="471"/>
      <c r="D143" s="471"/>
      <c r="E143" s="460" t="s">
        <v>2323</v>
      </c>
      <c r="F143" s="472" t="str">
        <f t="shared" si="4"/>
        <v>OWSLEY SCHP FUND</v>
      </c>
      <c r="G143" s="473">
        <v>14460.86</v>
      </c>
      <c r="H143" s="474">
        <v>0</v>
      </c>
      <c r="I143" s="474">
        <v>-278.17</v>
      </c>
      <c r="J143" s="474">
        <v>1408.53</v>
      </c>
      <c r="K143" s="474">
        <v>0</v>
      </c>
      <c r="L143" s="474">
        <v>0</v>
      </c>
      <c r="M143" s="474">
        <f t="shared" si="5"/>
        <v>15591.220000000001</v>
      </c>
    </row>
    <row r="144" spans="1:13" ht="12.75" outlineLevel="1">
      <c r="A144" s="424" t="s">
        <v>2324</v>
      </c>
      <c r="C144" s="471"/>
      <c r="D144" s="471"/>
      <c r="E144" s="460" t="s">
        <v>2325</v>
      </c>
      <c r="F144" s="472" t="str">
        <f t="shared" si="4"/>
        <v>OMURTAG/BALLARD SCH</v>
      </c>
      <c r="G144" s="473">
        <v>44732.01</v>
      </c>
      <c r="H144" s="474">
        <v>0</v>
      </c>
      <c r="I144" s="474">
        <v>-860.49</v>
      </c>
      <c r="J144" s="474">
        <v>4357.03</v>
      </c>
      <c r="K144" s="474">
        <v>0</v>
      </c>
      <c r="L144" s="474">
        <v>0</v>
      </c>
      <c r="M144" s="474">
        <f t="shared" si="5"/>
        <v>48228.55</v>
      </c>
    </row>
    <row r="145" spans="1:13" ht="12.75" outlineLevel="1">
      <c r="A145" s="424" t="s">
        <v>2326</v>
      </c>
      <c r="C145" s="471"/>
      <c r="D145" s="471"/>
      <c r="E145" s="460" t="s">
        <v>2327</v>
      </c>
      <c r="F145" s="472" t="str">
        <f t="shared" si="4"/>
        <v>WJ &amp; PW NOLTE SCHP</v>
      </c>
      <c r="G145" s="473">
        <v>99155.63</v>
      </c>
      <c r="H145" s="474">
        <v>0</v>
      </c>
      <c r="I145" s="474">
        <v>0</v>
      </c>
      <c r="J145" s="474">
        <v>-4164.02</v>
      </c>
      <c r="K145" s="474">
        <v>0</v>
      </c>
      <c r="L145" s="474">
        <v>0</v>
      </c>
      <c r="M145" s="474">
        <f t="shared" si="5"/>
        <v>94991.61</v>
      </c>
    </row>
    <row r="146" spans="1:13" ht="12.75" outlineLevel="1">
      <c r="A146" s="424" t="s">
        <v>2328</v>
      </c>
      <c r="C146" s="471"/>
      <c r="D146" s="471"/>
      <c r="E146" s="460" t="s">
        <v>2329</v>
      </c>
      <c r="F146" s="472" t="str">
        <f t="shared" si="4"/>
        <v>PALMER MEM SCHP</v>
      </c>
      <c r="G146" s="473">
        <v>164083.59</v>
      </c>
      <c r="H146" s="474">
        <v>1139.75</v>
      </c>
      <c r="I146" s="474">
        <v>-3138.32</v>
      </c>
      <c r="J146" s="474">
        <v>16020.11</v>
      </c>
      <c r="K146" s="474">
        <v>0</v>
      </c>
      <c r="L146" s="474">
        <v>0</v>
      </c>
      <c r="M146" s="474">
        <f t="shared" si="5"/>
        <v>178105.13</v>
      </c>
    </row>
    <row r="147" spans="1:13" ht="12.75" outlineLevel="1">
      <c r="A147" s="424" t="s">
        <v>2330</v>
      </c>
      <c r="C147" s="471"/>
      <c r="D147" s="471"/>
      <c r="E147" s="460" t="s">
        <v>2331</v>
      </c>
      <c r="F147" s="472" t="str">
        <f t="shared" si="4"/>
        <v>PARSONS SCHP</v>
      </c>
      <c r="G147" s="473">
        <v>63700.22</v>
      </c>
      <c r="H147" s="474">
        <v>0</v>
      </c>
      <c r="I147" s="474">
        <v>-1225.36</v>
      </c>
      <c r="J147" s="474">
        <v>6204.6</v>
      </c>
      <c r="K147" s="474">
        <v>0</v>
      </c>
      <c r="L147" s="474">
        <v>0</v>
      </c>
      <c r="M147" s="474">
        <f t="shared" si="5"/>
        <v>68679.46</v>
      </c>
    </row>
    <row r="148" spans="1:13" ht="12.75" outlineLevel="1">
      <c r="A148" s="424" t="s">
        <v>2332</v>
      </c>
      <c r="C148" s="471"/>
      <c r="D148" s="471"/>
      <c r="E148" s="460" t="s">
        <v>2333</v>
      </c>
      <c r="F148" s="472" t="str">
        <f t="shared" si="4"/>
        <v>LEWIS PAYNE SCHP</v>
      </c>
      <c r="G148" s="473">
        <v>24278.26</v>
      </c>
      <c r="H148" s="474">
        <v>0</v>
      </c>
      <c r="I148" s="474">
        <v>-467.05</v>
      </c>
      <c r="J148" s="474">
        <v>2364.78</v>
      </c>
      <c r="K148" s="474">
        <v>0</v>
      </c>
      <c r="L148" s="474">
        <v>0</v>
      </c>
      <c r="M148" s="474">
        <f t="shared" si="5"/>
        <v>26175.989999999998</v>
      </c>
    </row>
    <row r="149" spans="1:13" ht="12.75" outlineLevel="1">
      <c r="A149" s="424" t="s">
        <v>2334</v>
      </c>
      <c r="C149" s="471"/>
      <c r="D149" s="471"/>
      <c r="E149" s="460" t="s">
        <v>2335</v>
      </c>
      <c r="F149" s="472" t="str">
        <f t="shared" si="4"/>
        <v>HG PETERSON SCH FUND</v>
      </c>
      <c r="G149" s="473">
        <v>18955.12</v>
      </c>
      <c r="H149" s="474">
        <v>0</v>
      </c>
      <c r="I149" s="474">
        <v>-364.63</v>
      </c>
      <c r="J149" s="474">
        <v>1846.3</v>
      </c>
      <c r="K149" s="474">
        <v>0</v>
      </c>
      <c r="L149" s="474">
        <v>0</v>
      </c>
      <c r="M149" s="474">
        <f t="shared" si="5"/>
        <v>20436.789999999997</v>
      </c>
    </row>
    <row r="150" spans="1:13" ht="12.75" outlineLevel="1">
      <c r="A150" s="424" t="s">
        <v>2336</v>
      </c>
      <c r="C150" s="471"/>
      <c r="D150" s="471"/>
      <c r="E150" s="460" t="s">
        <v>2337</v>
      </c>
      <c r="F150" s="472" t="str">
        <f t="shared" si="4"/>
        <v>PHELPS CO-CITY PANHL</v>
      </c>
      <c r="G150" s="473">
        <v>72203.88</v>
      </c>
      <c r="H150" s="474">
        <v>5500</v>
      </c>
      <c r="I150" s="474">
        <v>12.43</v>
      </c>
      <c r="J150" s="474">
        <v>-3087.61</v>
      </c>
      <c r="K150" s="474">
        <v>0</v>
      </c>
      <c r="L150" s="474">
        <v>0</v>
      </c>
      <c r="M150" s="474">
        <f t="shared" si="5"/>
        <v>74628.7</v>
      </c>
    </row>
    <row r="151" spans="1:13" ht="12.75" outlineLevel="1">
      <c r="A151" s="424" t="s">
        <v>2338</v>
      </c>
      <c r="C151" s="471"/>
      <c r="D151" s="471"/>
      <c r="E151" s="460" t="s">
        <v>2339</v>
      </c>
      <c r="F151" s="472" t="str">
        <f t="shared" si="4"/>
        <v>P H PIETSCH MEM SCH</v>
      </c>
      <c r="G151" s="473">
        <v>167915.65</v>
      </c>
      <c r="H151" s="474">
        <v>20</v>
      </c>
      <c r="I151" s="474">
        <v>-2764.38</v>
      </c>
      <c r="J151" s="474">
        <v>17373.11</v>
      </c>
      <c r="K151" s="474">
        <v>30</v>
      </c>
      <c r="L151" s="474">
        <v>21184.54</v>
      </c>
      <c r="M151" s="474">
        <f t="shared" si="5"/>
        <v>203698.92</v>
      </c>
    </row>
    <row r="152" spans="1:13" ht="12.75" outlineLevel="1">
      <c r="A152" s="424" t="s">
        <v>2340</v>
      </c>
      <c r="C152" s="471"/>
      <c r="D152" s="471"/>
      <c r="E152" s="460" t="s">
        <v>2341</v>
      </c>
      <c r="F152" s="445" t="str">
        <f t="shared" si="4"/>
        <v>PINZKE MEM SCHP</v>
      </c>
      <c r="G152" s="521">
        <v>27207.31</v>
      </c>
      <c r="H152" s="474">
        <v>0</v>
      </c>
      <c r="I152" s="474">
        <v>-523.37</v>
      </c>
      <c r="J152" s="474">
        <v>2650.08</v>
      </c>
      <c r="K152" s="474">
        <v>0</v>
      </c>
      <c r="L152" s="474">
        <v>0</v>
      </c>
      <c r="M152" s="474">
        <f t="shared" si="5"/>
        <v>29334.020000000004</v>
      </c>
    </row>
    <row r="153" spans="1:13" ht="12.75" outlineLevel="1">
      <c r="A153" s="424" t="s">
        <v>2342</v>
      </c>
      <c r="C153" s="471"/>
      <c r="D153" s="471"/>
      <c r="E153" s="460" t="s">
        <v>2343</v>
      </c>
      <c r="F153" s="445" t="str">
        <f t="shared" si="4"/>
        <v>POGUE END SCHP</v>
      </c>
      <c r="G153" s="521">
        <v>16078.62</v>
      </c>
      <c r="H153" s="474">
        <v>100</v>
      </c>
      <c r="I153" s="474">
        <v>-308.66</v>
      </c>
      <c r="J153" s="474">
        <v>1565.42</v>
      </c>
      <c r="K153" s="474">
        <v>0</v>
      </c>
      <c r="L153" s="474">
        <v>0</v>
      </c>
      <c r="M153" s="474">
        <f t="shared" si="5"/>
        <v>17435.38</v>
      </c>
    </row>
    <row r="154" spans="1:13" ht="12.75" outlineLevel="1">
      <c r="A154" s="424" t="s">
        <v>2344</v>
      </c>
      <c r="C154" s="471"/>
      <c r="D154" s="471"/>
      <c r="E154" s="460" t="s">
        <v>2345</v>
      </c>
      <c r="F154" s="472" t="str">
        <f t="shared" si="4"/>
        <v>POLLARD SCHP</v>
      </c>
      <c r="G154" s="473">
        <v>50015.37</v>
      </c>
      <c r="H154" s="474">
        <v>0</v>
      </c>
      <c r="I154" s="474">
        <v>0</v>
      </c>
      <c r="J154" s="474">
        <v>-2100.38</v>
      </c>
      <c r="K154" s="474">
        <v>0</v>
      </c>
      <c r="L154" s="474">
        <v>0</v>
      </c>
      <c r="M154" s="474">
        <f t="shared" si="5"/>
        <v>47914.990000000005</v>
      </c>
    </row>
    <row r="155" spans="1:13" ht="12.75" outlineLevel="1">
      <c r="A155" s="424" t="s">
        <v>2346</v>
      </c>
      <c r="C155" s="471"/>
      <c r="D155" s="471"/>
      <c r="E155" s="460" t="s">
        <v>2347</v>
      </c>
      <c r="F155" s="472" t="str">
        <f t="shared" si="4"/>
        <v>PORCHEY ENDOW SCHP</v>
      </c>
      <c r="G155" s="473">
        <v>60897.55</v>
      </c>
      <c r="H155" s="474">
        <v>0</v>
      </c>
      <c r="I155" s="474">
        <v>-1171.48</v>
      </c>
      <c r="J155" s="474">
        <v>5931.59</v>
      </c>
      <c r="K155" s="474">
        <v>0</v>
      </c>
      <c r="L155" s="474">
        <v>0</v>
      </c>
      <c r="M155" s="474">
        <f t="shared" si="5"/>
        <v>65657.66</v>
      </c>
    </row>
    <row r="156" spans="1:13" ht="12.75" outlineLevel="1">
      <c r="A156" s="424" t="s">
        <v>2348</v>
      </c>
      <c r="C156" s="471"/>
      <c r="D156" s="471"/>
      <c r="E156" s="460" t="s">
        <v>2349</v>
      </c>
      <c r="F156" s="472" t="str">
        <f t="shared" si="4"/>
        <v>PREWETT ENDOWED SCHP</v>
      </c>
      <c r="G156" s="473">
        <v>214544.94</v>
      </c>
      <c r="H156" s="474">
        <v>0</v>
      </c>
      <c r="I156" s="474">
        <v>-4127.09</v>
      </c>
      <c r="J156" s="474">
        <v>20897.28</v>
      </c>
      <c r="K156" s="474">
        <v>0</v>
      </c>
      <c r="L156" s="474">
        <v>0</v>
      </c>
      <c r="M156" s="474">
        <f t="shared" si="5"/>
        <v>231315.13</v>
      </c>
    </row>
    <row r="157" spans="1:13" ht="12.75" outlineLevel="1">
      <c r="A157" s="424" t="s">
        <v>2350</v>
      </c>
      <c r="C157" s="471"/>
      <c r="D157" s="471"/>
      <c r="E157" s="460" t="s">
        <v>2351</v>
      </c>
      <c r="F157" s="472" t="str">
        <f t="shared" si="4"/>
        <v>RADCLIFFE END GEOL SCHP</v>
      </c>
      <c r="G157" s="473">
        <v>96804.98</v>
      </c>
      <c r="H157" s="474">
        <v>-38483.99</v>
      </c>
      <c r="I157" s="474">
        <v>-1320.46</v>
      </c>
      <c r="J157" s="474">
        <v>10477.73</v>
      </c>
      <c r="K157" s="474">
        <v>0</v>
      </c>
      <c r="L157" s="474">
        <v>0</v>
      </c>
      <c r="M157" s="474">
        <f t="shared" si="5"/>
        <v>67478.26</v>
      </c>
    </row>
    <row r="158" spans="1:13" ht="12.75" outlineLevel="1">
      <c r="A158" s="424" t="s">
        <v>2352</v>
      </c>
      <c r="C158" s="471"/>
      <c r="D158" s="471"/>
      <c r="E158" s="460" t="s">
        <v>2353</v>
      </c>
      <c r="F158" s="472" t="str">
        <f t="shared" si="4"/>
        <v>J A REDDING SCHP</v>
      </c>
      <c r="G158" s="473">
        <v>95218.53</v>
      </c>
      <c r="H158" s="474">
        <v>100</v>
      </c>
      <c r="I158" s="474">
        <v>-1829.48</v>
      </c>
      <c r="J158" s="474">
        <v>9279.36</v>
      </c>
      <c r="K158" s="474">
        <v>0</v>
      </c>
      <c r="L158" s="474">
        <v>0</v>
      </c>
      <c r="M158" s="474">
        <f t="shared" si="5"/>
        <v>102768.41</v>
      </c>
    </row>
    <row r="159" spans="1:13" ht="12.75" outlineLevel="1">
      <c r="A159" s="424" t="s">
        <v>2354</v>
      </c>
      <c r="C159" s="471"/>
      <c r="D159" s="471"/>
      <c r="E159" s="460" t="s">
        <v>2355</v>
      </c>
      <c r="F159" s="472" t="str">
        <f t="shared" si="4"/>
        <v>T H REESE JR MEM</v>
      </c>
      <c r="G159" s="473">
        <v>164546.79</v>
      </c>
      <c r="H159" s="474">
        <v>0</v>
      </c>
      <c r="I159" s="474">
        <v>-3165.3</v>
      </c>
      <c r="J159" s="474">
        <v>16027.33</v>
      </c>
      <c r="K159" s="474">
        <v>0</v>
      </c>
      <c r="L159" s="474">
        <v>0</v>
      </c>
      <c r="M159" s="474">
        <f t="shared" si="5"/>
        <v>177408.82</v>
      </c>
    </row>
    <row r="160" spans="1:13" ht="12.75" outlineLevel="1">
      <c r="A160" s="424" t="s">
        <v>2356</v>
      </c>
      <c r="C160" s="471"/>
      <c r="D160" s="471"/>
      <c r="E160" s="460" t="s">
        <v>2357</v>
      </c>
      <c r="F160" s="472" t="str">
        <f t="shared" si="4"/>
        <v>AGNES REMINGTON SCH</v>
      </c>
      <c r="G160" s="473">
        <v>33249.6</v>
      </c>
      <c r="H160" s="474">
        <v>0</v>
      </c>
      <c r="I160" s="474">
        <v>449.71</v>
      </c>
      <c r="J160" s="474">
        <v>-1382.47</v>
      </c>
      <c r="K160" s="474">
        <v>0</v>
      </c>
      <c r="L160" s="474">
        <v>0</v>
      </c>
      <c r="M160" s="474">
        <f t="shared" si="5"/>
        <v>32316.839999999997</v>
      </c>
    </row>
    <row r="161" spans="1:13" ht="12.75" outlineLevel="1">
      <c r="A161" s="424" t="s">
        <v>2358</v>
      </c>
      <c r="C161" s="471"/>
      <c r="D161" s="471"/>
      <c r="E161" s="460" t="s">
        <v>2359</v>
      </c>
      <c r="F161" s="472" t="str">
        <f t="shared" si="4"/>
        <v>REMINGTON SCHP</v>
      </c>
      <c r="G161" s="473">
        <v>52102.51</v>
      </c>
      <c r="H161" s="474">
        <v>100</v>
      </c>
      <c r="I161" s="474">
        <v>-999.41</v>
      </c>
      <c r="J161" s="474">
        <v>5074.46</v>
      </c>
      <c r="K161" s="474">
        <v>0</v>
      </c>
      <c r="L161" s="474">
        <v>0</v>
      </c>
      <c r="M161" s="474">
        <f t="shared" si="5"/>
        <v>56277.56</v>
      </c>
    </row>
    <row r="162" spans="1:13" ht="12.75" outlineLevel="1">
      <c r="A162" s="424" t="s">
        <v>2360</v>
      </c>
      <c r="C162" s="471"/>
      <c r="D162" s="471"/>
      <c r="E162" s="460" t="s">
        <v>2361</v>
      </c>
      <c r="F162" s="472" t="str">
        <f t="shared" si="4"/>
        <v>RIGGS ENDOWED SCHP</v>
      </c>
      <c r="G162" s="473">
        <v>11860.31</v>
      </c>
      <c r="H162" s="474">
        <v>0</v>
      </c>
      <c r="I162" s="474">
        <v>-228.14</v>
      </c>
      <c r="J162" s="474">
        <v>1155.22</v>
      </c>
      <c r="K162" s="474">
        <v>0</v>
      </c>
      <c r="L162" s="474">
        <v>0</v>
      </c>
      <c r="M162" s="474">
        <f t="shared" si="5"/>
        <v>12787.39</v>
      </c>
    </row>
    <row r="163" spans="1:13" ht="12.75" outlineLevel="1">
      <c r="A163" s="424" t="s">
        <v>2362</v>
      </c>
      <c r="C163" s="471"/>
      <c r="D163" s="471"/>
      <c r="E163" s="460" t="s">
        <v>2363</v>
      </c>
      <c r="F163" s="472" t="str">
        <f t="shared" si="4"/>
        <v>ROBERTS CIVIL ENG</v>
      </c>
      <c r="G163" s="473">
        <v>55678.42</v>
      </c>
      <c r="H163" s="474">
        <v>100</v>
      </c>
      <c r="I163" s="474">
        <v>755.47</v>
      </c>
      <c r="J163" s="474">
        <v>-2317.16</v>
      </c>
      <c r="K163" s="474">
        <v>0</v>
      </c>
      <c r="L163" s="474">
        <v>0</v>
      </c>
      <c r="M163" s="474">
        <f t="shared" si="5"/>
        <v>54216.729999999996</v>
      </c>
    </row>
    <row r="164" spans="1:13" ht="12.75" outlineLevel="1">
      <c r="A164" s="424" t="s">
        <v>2364</v>
      </c>
      <c r="C164" s="471"/>
      <c r="D164" s="471"/>
      <c r="E164" s="460" t="s">
        <v>2365</v>
      </c>
      <c r="F164" s="472" t="str">
        <f t="shared" si="4"/>
        <v>ROTHBAND MEMORIAL</v>
      </c>
      <c r="G164" s="473">
        <v>113709.05</v>
      </c>
      <c r="H164" s="474">
        <v>0</v>
      </c>
      <c r="I164" s="474">
        <v>-2137.83</v>
      </c>
      <c r="J164" s="474">
        <v>11080.49</v>
      </c>
      <c r="K164" s="474">
        <v>0</v>
      </c>
      <c r="L164" s="474">
        <v>0</v>
      </c>
      <c r="M164" s="474">
        <f t="shared" si="5"/>
        <v>122651.71</v>
      </c>
    </row>
    <row r="165" spans="1:13" ht="12.75" outlineLevel="1">
      <c r="A165" s="424" t="s">
        <v>2366</v>
      </c>
      <c r="C165" s="471"/>
      <c r="D165" s="471"/>
      <c r="E165" s="460" t="s">
        <v>2367</v>
      </c>
      <c r="F165" s="472" t="str">
        <f t="shared" si="4"/>
        <v>BR SARCHET SCHP FUND</v>
      </c>
      <c r="G165" s="473">
        <v>51860.52</v>
      </c>
      <c r="H165" s="474">
        <v>2100</v>
      </c>
      <c r="I165" s="474">
        <v>-929.57</v>
      </c>
      <c r="J165" s="474">
        <v>5086.16</v>
      </c>
      <c r="K165" s="474">
        <v>0</v>
      </c>
      <c r="L165" s="474">
        <v>0</v>
      </c>
      <c r="M165" s="474">
        <f t="shared" si="5"/>
        <v>58117.11</v>
      </c>
    </row>
    <row r="166" spans="1:13" ht="12.75" outlineLevel="1">
      <c r="A166" s="424" t="s">
        <v>2368</v>
      </c>
      <c r="C166" s="471"/>
      <c r="D166" s="471"/>
      <c r="E166" s="460" t="s">
        <v>2369</v>
      </c>
      <c r="F166" s="472" t="str">
        <f t="shared" si="4"/>
        <v>SAUER SCHOLARSHIP</v>
      </c>
      <c r="G166" s="473">
        <v>51580.67</v>
      </c>
      <c r="H166" s="474">
        <v>0</v>
      </c>
      <c r="I166" s="474">
        <v>-835.13</v>
      </c>
      <c r="J166" s="474">
        <v>5039.7</v>
      </c>
      <c r="K166" s="474">
        <v>0</v>
      </c>
      <c r="L166" s="474">
        <v>0</v>
      </c>
      <c r="M166" s="474">
        <f t="shared" si="5"/>
        <v>55785.24</v>
      </c>
    </row>
    <row r="167" spans="1:13" ht="12.75" outlineLevel="1">
      <c r="A167" s="424" t="s">
        <v>2370</v>
      </c>
      <c r="C167" s="471"/>
      <c r="D167" s="471"/>
      <c r="E167" s="460" t="s">
        <v>2371</v>
      </c>
      <c r="F167" s="472" t="str">
        <f t="shared" si="4"/>
        <v>SCHAFER ENDOW SCHP</v>
      </c>
      <c r="G167" s="473">
        <v>121133.83</v>
      </c>
      <c r="H167" s="474">
        <v>0</v>
      </c>
      <c r="I167" s="474">
        <v>-2330.19</v>
      </c>
      <c r="J167" s="474">
        <v>11798.79</v>
      </c>
      <c r="K167" s="474">
        <v>0</v>
      </c>
      <c r="L167" s="474">
        <v>0</v>
      </c>
      <c r="M167" s="474">
        <f t="shared" si="5"/>
        <v>130602.43</v>
      </c>
    </row>
    <row r="168" spans="1:13" ht="12.75" outlineLevel="1">
      <c r="A168" s="424" t="s">
        <v>2372</v>
      </c>
      <c r="C168" s="471"/>
      <c r="D168" s="471"/>
      <c r="E168" s="460" t="s">
        <v>2373</v>
      </c>
      <c r="F168" s="472" t="str">
        <f t="shared" si="4"/>
        <v>LAIRD SCHEARER FUND</v>
      </c>
      <c r="G168" s="473">
        <v>31221.65</v>
      </c>
      <c r="H168" s="474">
        <v>0</v>
      </c>
      <c r="I168" s="474">
        <v>-601.67</v>
      </c>
      <c r="J168" s="474">
        <v>3041.08</v>
      </c>
      <c r="K168" s="474">
        <v>0</v>
      </c>
      <c r="L168" s="474">
        <v>0</v>
      </c>
      <c r="M168" s="474">
        <f t="shared" si="5"/>
        <v>33661.060000000005</v>
      </c>
    </row>
    <row r="169" spans="1:13" ht="12.75" outlineLevel="1">
      <c r="A169" s="424" t="s">
        <v>2374</v>
      </c>
      <c r="C169" s="471"/>
      <c r="D169" s="471"/>
      <c r="E169" s="460" t="s">
        <v>2375</v>
      </c>
      <c r="F169" s="472" t="str">
        <f t="shared" si="4"/>
        <v>SCHOENTHALER SCHOLAR</v>
      </c>
      <c r="G169" s="473">
        <v>79058.21</v>
      </c>
      <c r="H169" s="474">
        <v>0</v>
      </c>
      <c r="I169" s="474">
        <v>-1520.8</v>
      </c>
      <c r="J169" s="474">
        <v>7700.5</v>
      </c>
      <c r="K169" s="474">
        <v>0</v>
      </c>
      <c r="L169" s="474">
        <v>0</v>
      </c>
      <c r="M169" s="474">
        <f t="shared" si="5"/>
        <v>85237.91</v>
      </c>
    </row>
    <row r="170" spans="1:13" ht="12.75" outlineLevel="1">
      <c r="A170" s="424" t="s">
        <v>2376</v>
      </c>
      <c r="C170" s="471"/>
      <c r="D170" s="471"/>
      <c r="E170" s="460" t="s">
        <v>2377</v>
      </c>
      <c r="F170" s="472" t="str">
        <f t="shared" si="4"/>
        <v>SENNE CIVIL ENG</v>
      </c>
      <c r="G170" s="473">
        <v>62653.87</v>
      </c>
      <c r="H170" s="474">
        <v>100</v>
      </c>
      <c r="I170" s="474">
        <v>842.66</v>
      </c>
      <c r="J170" s="474">
        <v>-2585.85</v>
      </c>
      <c r="K170" s="474">
        <v>0</v>
      </c>
      <c r="L170" s="474">
        <v>0</v>
      </c>
      <c r="M170" s="474">
        <f t="shared" si="5"/>
        <v>61010.68000000001</v>
      </c>
    </row>
    <row r="171" spans="1:13" ht="12.75" outlineLevel="1">
      <c r="A171" s="424" t="s">
        <v>2378</v>
      </c>
      <c r="C171" s="471"/>
      <c r="D171" s="471"/>
      <c r="E171" s="460" t="s">
        <v>2379</v>
      </c>
      <c r="F171" s="472" t="str">
        <f t="shared" si="4"/>
        <v>L T SICKA SCHOLARSHP</v>
      </c>
      <c r="G171" s="473">
        <v>716919.54</v>
      </c>
      <c r="H171" s="474">
        <v>0</v>
      </c>
      <c r="I171" s="474">
        <v>-13791.04</v>
      </c>
      <c r="J171" s="474">
        <v>69830.06</v>
      </c>
      <c r="K171" s="474">
        <v>0</v>
      </c>
      <c r="L171" s="474">
        <v>0</v>
      </c>
      <c r="M171" s="474">
        <f t="shared" si="5"/>
        <v>772958.56</v>
      </c>
    </row>
    <row r="172" spans="1:13" ht="12.75" outlineLevel="1">
      <c r="A172" s="424" t="s">
        <v>2380</v>
      </c>
      <c r="C172" s="471"/>
      <c r="D172" s="471"/>
      <c r="E172" s="460" t="s">
        <v>2381</v>
      </c>
      <c r="F172" s="472" t="str">
        <f t="shared" si="4"/>
        <v>SOWERS ENDOWED SCHP</v>
      </c>
      <c r="G172" s="473">
        <v>24546.3</v>
      </c>
      <c r="H172" s="474">
        <v>0</v>
      </c>
      <c r="I172" s="474">
        <v>-351.41</v>
      </c>
      <c r="J172" s="474">
        <v>2402.88</v>
      </c>
      <c r="K172" s="474">
        <v>0</v>
      </c>
      <c r="L172" s="474">
        <v>0</v>
      </c>
      <c r="M172" s="474">
        <f t="shared" si="5"/>
        <v>26597.77</v>
      </c>
    </row>
    <row r="173" spans="1:13" ht="12.75" outlineLevel="1">
      <c r="A173" s="424" t="s">
        <v>2382</v>
      </c>
      <c r="C173" s="471"/>
      <c r="D173" s="471"/>
      <c r="E173" s="460" t="s">
        <v>2383</v>
      </c>
      <c r="F173" s="472" t="str">
        <f t="shared" si="4"/>
        <v>SMITH ENDOWED SCHP</v>
      </c>
      <c r="G173" s="473">
        <v>32670.04</v>
      </c>
      <c r="H173" s="474">
        <v>0</v>
      </c>
      <c r="I173" s="474">
        <v>-628.48</v>
      </c>
      <c r="J173" s="474">
        <v>3182.15</v>
      </c>
      <c r="K173" s="474">
        <v>0</v>
      </c>
      <c r="L173" s="474">
        <v>0</v>
      </c>
      <c r="M173" s="474">
        <f t="shared" si="5"/>
        <v>35223.71</v>
      </c>
    </row>
    <row r="174" spans="1:13" ht="12.75" outlineLevel="1">
      <c r="A174" s="424" t="s">
        <v>2384</v>
      </c>
      <c r="C174" s="471"/>
      <c r="D174" s="471"/>
      <c r="E174" s="460" t="s">
        <v>2385</v>
      </c>
      <c r="F174" s="472" t="str">
        <f t="shared" si="4"/>
        <v>SNELSON SCHOLARSHIP</v>
      </c>
      <c r="G174" s="473">
        <v>28681.42</v>
      </c>
      <c r="H174" s="474">
        <v>0</v>
      </c>
      <c r="I174" s="474">
        <v>-551.72</v>
      </c>
      <c r="J174" s="474">
        <v>2793.66</v>
      </c>
      <c r="K174" s="474">
        <v>0</v>
      </c>
      <c r="L174" s="474">
        <v>0</v>
      </c>
      <c r="M174" s="474">
        <f t="shared" si="5"/>
        <v>30923.359999999997</v>
      </c>
    </row>
    <row r="175" spans="1:13" ht="12.75" outlineLevel="1">
      <c r="A175" s="424" t="s">
        <v>2386</v>
      </c>
      <c r="C175" s="471"/>
      <c r="D175" s="471"/>
      <c r="E175" s="460" t="s">
        <v>2387</v>
      </c>
      <c r="F175" s="472" t="str">
        <f t="shared" si="4"/>
        <v>SOULT MEM SCHP</v>
      </c>
      <c r="G175" s="473">
        <v>25583.19</v>
      </c>
      <c r="H175" s="474">
        <v>0</v>
      </c>
      <c r="I175" s="474">
        <v>-492.13</v>
      </c>
      <c r="J175" s="474">
        <v>2491.87</v>
      </c>
      <c r="K175" s="474">
        <v>0</v>
      </c>
      <c r="L175" s="474">
        <v>0</v>
      </c>
      <c r="M175" s="474">
        <f t="shared" si="5"/>
        <v>27582.929999999997</v>
      </c>
    </row>
    <row r="176" spans="1:13" ht="12.75" outlineLevel="1">
      <c r="A176" s="424" t="s">
        <v>2388</v>
      </c>
      <c r="C176" s="471"/>
      <c r="D176" s="471"/>
      <c r="E176" s="460" t="s">
        <v>2389</v>
      </c>
      <c r="F176" s="472" t="str">
        <f t="shared" si="4"/>
        <v>SPOKES END SCHP</v>
      </c>
      <c r="G176" s="473">
        <v>39123.93</v>
      </c>
      <c r="H176" s="474">
        <v>0</v>
      </c>
      <c r="I176" s="474">
        <v>-752.61</v>
      </c>
      <c r="J176" s="474">
        <v>3810.76</v>
      </c>
      <c r="K176" s="474">
        <v>0</v>
      </c>
      <c r="L176" s="474">
        <v>0</v>
      </c>
      <c r="M176" s="474">
        <f t="shared" si="5"/>
        <v>42182.08</v>
      </c>
    </row>
    <row r="177" spans="1:13" ht="12.75" outlineLevel="1">
      <c r="A177" s="424" t="s">
        <v>2390</v>
      </c>
      <c r="C177" s="471"/>
      <c r="D177" s="471"/>
      <c r="E177" s="460" t="s">
        <v>2391</v>
      </c>
      <c r="F177" s="472" t="str">
        <f t="shared" si="4"/>
        <v>STL COAL CLUB SCHP</v>
      </c>
      <c r="G177" s="473">
        <v>26610.04</v>
      </c>
      <c r="H177" s="474">
        <v>0</v>
      </c>
      <c r="I177" s="474">
        <v>-511.87</v>
      </c>
      <c r="J177" s="474">
        <v>2591.89</v>
      </c>
      <c r="K177" s="474">
        <v>0</v>
      </c>
      <c r="L177" s="474">
        <v>0</v>
      </c>
      <c r="M177" s="474">
        <f t="shared" si="5"/>
        <v>28690.06</v>
      </c>
    </row>
    <row r="178" spans="1:13" ht="12.75" outlineLevel="1">
      <c r="A178" s="424" t="s">
        <v>2392</v>
      </c>
      <c r="C178" s="471"/>
      <c r="D178" s="471"/>
      <c r="E178" s="460" t="s">
        <v>2393</v>
      </c>
      <c r="F178" s="472" t="str">
        <f t="shared" si="4"/>
        <v>STEVENS ENDOW SCHP</v>
      </c>
      <c r="G178" s="473">
        <v>30201.81</v>
      </c>
      <c r="H178" s="474">
        <v>550</v>
      </c>
      <c r="I178" s="474">
        <v>-559.91</v>
      </c>
      <c r="J178" s="474">
        <v>2944.13</v>
      </c>
      <c r="K178" s="474">
        <v>0</v>
      </c>
      <c r="L178" s="474">
        <v>0</v>
      </c>
      <c r="M178" s="474">
        <f t="shared" si="5"/>
        <v>33136.03</v>
      </c>
    </row>
    <row r="179" spans="1:13" ht="12.75" outlineLevel="1">
      <c r="A179" s="424" t="s">
        <v>2394</v>
      </c>
      <c r="C179" s="471"/>
      <c r="D179" s="471"/>
      <c r="E179" s="460" t="s">
        <v>2395</v>
      </c>
      <c r="F179" s="472" t="str">
        <f t="shared" si="4"/>
        <v>STEWART-FRAIZER SCHP</v>
      </c>
      <c r="G179" s="473">
        <v>62555.36</v>
      </c>
      <c r="H179" s="474">
        <v>0</v>
      </c>
      <c r="I179" s="474">
        <v>-1203.35</v>
      </c>
      <c r="J179" s="474">
        <v>6093.06</v>
      </c>
      <c r="K179" s="474">
        <v>0</v>
      </c>
      <c r="L179" s="474">
        <v>0</v>
      </c>
      <c r="M179" s="474">
        <f t="shared" si="5"/>
        <v>67445.07</v>
      </c>
    </row>
    <row r="180" spans="1:13" ht="12.75" outlineLevel="1">
      <c r="A180" s="424" t="s">
        <v>2396</v>
      </c>
      <c r="C180" s="471"/>
      <c r="D180" s="471"/>
      <c r="E180" s="460" t="s">
        <v>2397</v>
      </c>
      <c r="F180" s="472" t="str">
        <f t="shared" si="4"/>
        <v>STOCKETT SCHOLARSHIP</v>
      </c>
      <c r="G180" s="473">
        <v>64626.22</v>
      </c>
      <c r="H180" s="474">
        <v>0</v>
      </c>
      <c r="I180" s="474">
        <v>-1243.2</v>
      </c>
      <c r="J180" s="474">
        <v>6294.75</v>
      </c>
      <c r="K180" s="474">
        <v>0</v>
      </c>
      <c r="L180" s="474">
        <v>0</v>
      </c>
      <c r="M180" s="474">
        <f t="shared" si="5"/>
        <v>69677.77</v>
      </c>
    </row>
    <row r="181" spans="1:13" ht="12.75" outlineLevel="1">
      <c r="A181" s="424" t="s">
        <v>2398</v>
      </c>
      <c r="C181" s="471"/>
      <c r="D181" s="471"/>
      <c r="E181" s="460" t="s">
        <v>2399</v>
      </c>
      <c r="F181" s="472" t="str">
        <f t="shared" si="4"/>
        <v>STONE ENDOWED SCHP</v>
      </c>
      <c r="G181" s="473">
        <v>920806.79</v>
      </c>
      <c r="H181" s="474">
        <v>0</v>
      </c>
      <c r="I181" s="474">
        <v>-17311.48</v>
      </c>
      <c r="J181" s="474">
        <v>89442.34</v>
      </c>
      <c r="K181" s="474">
        <v>0</v>
      </c>
      <c r="L181" s="474">
        <v>5165.55</v>
      </c>
      <c r="M181" s="474">
        <f t="shared" si="5"/>
        <v>998103.2000000001</v>
      </c>
    </row>
    <row r="182" spans="1:13" ht="12.75" outlineLevel="1">
      <c r="A182" s="424" t="s">
        <v>2400</v>
      </c>
      <c r="C182" s="471"/>
      <c r="D182" s="471"/>
      <c r="E182" s="460" t="s">
        <v>2401</v>
      </c>
      <c r="F182" s="472" t="str">
        <f t="shared" si="4"/>
        <v>B B STRANG MEMORIAL</v>
      </c>
      <c r="G182" s="473">
        <v>21242.67</v>
      </c>
      <c r="H182" s="474">
        <v>0</v>
      </c>
      <c r="I182" s="474">
        <v>-408.65</v>
      </c>
      <c r="J182" s="474">
        <v>2069.1</v>
      </c>
      <c r="K182" s="474">
        <v>0</v>
      </c>
      <c r="L182" s="474">
        <v>0</v>
      </c>
      <c r="M182" s="474">
        <f t="shared" si="5"/>
        <v>22903.119999999995</v>
      </c>
    </row>
    <row r="183" spans="1:13" ht="12.75" outlineLevel="1">
      <c r="A183" s="424" t="s">
        <v>2402</v>
      </c>
      <c r="C183" s="471"/>
      <c r="D183" s="471"/>
      <c r="E183" s="460" t="s">
        <v>2403</v>
      </c>
      <c r="F183" s="472" t="str">
        <f t="shared" si="4"/>
        <v>M R STRUNK SCH</v>
      </c>
      <c r="G183" s="473">
        <v>223044.86</v>
      </c>
      <c r="H183" s="474">
        <v>1300</v>
      </c>
      <c r="I183" s="474">
        <v>-4269.16</v>
      </c>
      <c r="J183" s="474">
        <v>21731.33</v>
      </c>
      <c r="K183" s="474">
        <v>0</v>
      </c>
      <c r="L183" s="474">
        <v>0</v>
      </c>
      <c r="M183" s="474">
        <f t="shared" si="5"/>
        <v>241807.02999999997</v>
      </c>
    </row>
    <row r="184" spans="1:13" ht="12.75" outlineLevel="1">
      <c r="A184" s="424" t="s">
        <v>2404</v>
      </c>
      <c r="C184" s="471"/>
      <c r="D184" s="471"/>
      <c r="E184" s="460" t="s">
        <v>2405</v>
      </c>
      <c r="F184" s="472" t="str">
        <f t="shared" si="4"/>
        <v>STUECK SCHP CIVIL EN</v>
      </c>
      <c r="G184" s="473">
        <v>48452.04</v>
      </c>
      <c r="H184" s="474">
        <v>0</v>
      </c>
      <c r="I184" s="474">
        <v>-932.06</v>
      </c>
      <c r="J184" s="474">
        <v>4719.38</v>
      </c>
      <c r="K184" s="474">
        <v>0</v>
      </c>
      <c r="L184" s="474">
        <v>0</v>
      </c>
      <c r="M184" s="474">
        <f t="shared" si="5"/>
        <v>52239.36</v>
      </c>
    </row>
    <row r="185" spans="1:13" ht="12.75" outlineLevel="1">
      <c r="A185" s="424" t="s">
        <v>2406</v>
      </c>
      <c r="C185" s="471"/>
      <c r="D185" s="471"/>
      <c r="E185" s="460" t="s">
        <v>2407</v>
      </c>
      <c r="F185" s="472" t="str">
        <f t="shared" si="4"/>
        <v>STOFFER SCHP CHEM</v>
      </c>
      <c r="G185" s="473">
        <v>15846.95</v>
      </c>
      <c r="H185" s="474">
        <v>350</v>
      </c>
      <c r="I185" s="474">
        <v>-290.98</v>
      </c>
      <c r="J185" s="474">
        <v>1542.15</v>
      </c>
      <c r="K185" s="474">
        <v>0</v>
      </c>
      <c r="L185" s="474">
        <v>0</v>
      </c>
      <c r="M185" s="474">
        <f t="shared" si="5"/>
        <v>17448.120000000003</v>
      </c>
    </row>
    <row r="186" spans="1:13" ht="12.75" outlineLevel="1">
      <c r="A186" s="424" t="s">
        <v>2408</v>
      </c>
      <c r="C186" s="471"/>
      <c r="D186" s="471"/>
      <c r="E186" s="460" t="s">
        <v>2409</v>
      </c>
      <c r="F186" s="472" t="str">
        <f t="shared" si="4"/>
        <v>JH SUBOW MEM</v>
      </c>
      <c r="G186" s="473">
        <v>41964.25</v>
      </c>
      <c r="H186" s="474">
        <v>40</v>
      </c>
      <c r="I186" s="474">
        <v>-889.13</v>
      </c>
      <c r="J186" s="474">
        <v>4078.28</v>
      </c>
      <c r="K186" s="474">
        <v>0</v>
      </c>
      <c r="L186" s="474">
        <v>0</v>
      </c>
      <c r="M186" s="474">
        <f t="shared" si="5"/>
        <v>45193.4</v>
      </c>
    </row>
    <row r="187" spans="1:13" ht="12.75" outlineLevel="1">
      <c r="A187" s="424" t="s">
        <v>2410</v>
      </c>
      <c r="C187" s="471"/>
      <c r="D187" s="471"/>
      <c r="E187" s="460" t="s">
        <v>2411</v>
      </c>
      <c r="F187" s="472" t="str">
        <f t="shared" si="4"/>
        <v>TAYLOR SCHOLARSHIP</v>
      </c>
      <c r="G187" s="473">
        <v>36486.4</v>
      </c>
      <c r="H187" s="474">
        <v>650</v>
      </c>
      <c r="I187" s="474">
        <v>-693.62</v>
      </c>
      <c r="J187" s="474">
        <v>3544.48</v>
      </c>
      <c r="K187" s="474">
        <v>0</v>
      </c>
      <c r="L187" s="474">
        <v>0</v>
      </c>
      <c r="M187" s="474">
        <f t="shared" si="5"/>
        <v>39987.26</v>
      </c>
    </row>
    <row r="188" spans="1:13" ht="12.75" outlineLevel="1">
      <c r="A188" s="424" t="s">
        <v>2412</v>
      </c>
      <c r="C188" s="471"/>
      <c r="D188" s="471"/>
      <c r="E188" s="460" t="s">
        <v>2413</v>
      </c>
      <c r="F188" s="472" t="str">
        <f t="shared" si="4"/>
        <v>TODD MEM SCHP</v>
      </c>
      <c r="G188" s="473">
        <v>23663.27</v>
      </c>
      <c r="H188" s="474">
        <v>45</v>
      </c>
      <c r="I188" s="474">
        <v>-454.98</v>
      </c>
      <c r="J188" s="474">
        <v>2304.69</v>
      </c>
      <c r="K188" s="474">
        <v>0</v>
      </c>
      <c r="L188" s="474">
        <v>0</v>
      </c>
      <c r="M188" s="474">
        <f t="shared" si="5"/>
        <v>25557.98</v>
      </c>
    </row>
    <row r="189" spans="1:13" ht="12.75" outlineLevel="1">
      <c r="A189" s="424" t="s">
        <v>2414</v>
      </c>
      <c r="C189" s="471"/>
      <c r="D189" s="471"/>
      <c r="E189" s="460" t="s">
        <v>2415</v>
      </c>
      <c r="F189" s="472" t="str">
        <f t="shared" si="4"/>
        <v>UNSELL MEM SCHP</v>
      </c>
      <c r="G189" s="473">
        <v>24237.93</v>
      </c>
      <c r="H189" s="474">
        <v>0</v>
      </c>
      <c r="I189" s="474">
        <v>-466.25</v>
      </c>
      <c r="J189" s="474">
        <v>2360.85</v>
      </c>
      <c r="K189" s="474">
        <v>0</v>
      </c>
      <c r="L189" s="474">
        <v>0</v>
      </c>
      <c r="M189" s="474">
        <f t="shared" si="5"/>
        <v>26132.53</v>
      </c>
    </row>
    <row r="190" spans="1:13" ht="12.75" outlineLevel="1">
      <c r="A190" s="424" t="s">
        <v>2416</v>
      </c>
      <c r="C190" s="471"/>
      <c r="D190" s="471"/>
      <c r="E190" s="460" t="s">
        <v>2417</v>
      </c>
      <c r="F190" s="472" t="str">
        <f t="shared" si="4"/>
        <v>VALERIUS SCHP</v>
      </c>
      <c r="G190" s="473">
        <v>94756.01</v>
      </c>
      <c r="H190" s="474">
        <v>0</v>
      </c>
      <c r="I190" s="474">
        <v>-1822.78</v>
      </c>
      <c r="J190" s="474">
        <v>9229.53</v>
      </c>
      <c r="K190" s="474">
        <v>0</v>
      </c>
      <c r="L190" s="474">
        <v>0</v>
      </c>
      <c r="M190" s="474">
        <f t="shared" si="5"/>
        <v>102162.76</v>
      </c>
    </row>
    <row r="191" spans="1:13" ht="12.75" outlineLevel="1">
      <c r="A191" s="424" t="s">
        <v>2418</v>
      </c>
      <c r="C191" s="471"/>
      <c r="D191" s="471"/>
      <c r="E191" s="460" t="s">
        <v>2419</v>
      </c>
      <c r="F191" s="472" t="str">
        <f t="shared" si="4"/>
        <v>VAN NOSTRAND SCH</v>
      </c>
      <c r="G191" s="473">
        <v>8259.86</v>
      </c>
      <c r="H191" s="474">
        <v>0</v>
      </c>
      <c r="I191" s="474">
        <v>0</v>
      </c>
      <c r="J191" s="474">
        <v>-346.88</v>
      </c>
      <c r="K191" s="474">
        <v>0</v>
      </c>
      <c r="L191" s="474">
        <v>0</v>
      </c>
      <c r="M191" s="474">
        <f t="shared" si="5"/>
        <v>7912.9800000000005</v>
      </c>
    </row>
    <row r="192" spans="1:13" ht="12.75" outlineLevel="1">
      <c r="A192" s="424" t="s">
        <v>2420</v>
      </c>
      <c r="C192" s="471"/>
      <c r="D192" s="471"/>
      <c r="E192" s="460" t="s">
        <v>2421</v>
      </c>
      <c r="F192" s="472" t="str">
        <f t="shared" si="4"/>
        <v>VICKERS ATH SCH</v>
      </c>
      <c r="G192" s="473">
        <v>20700.58</v>
      </c>
      <c r="H192" s="474">
        <v>0</v>
      </c>
      <c r="I192" s="474">
        <v>-398.2</v>
      </c>
      <c r="J192" s="474">
        <v>2016.28</v>
      </c>
      <c r="K192" s="474">
        <v>0</v>
      </c>
      <c r="L192" s="474">
        <v>0</v>
      </c>
      <c r="M192" s="474">
        <f t="shared" si="5"/>
        <v>22318.66</v>
      </c>
    </row>
    <row r="193" spans="1:13" ht="12.75" outlineLevel="1">
      <c r="A193" s="424" t="s">
        <v>2422</v>
      </c>
      <c r="C193" s="471"/>
      <c r="D193" s="471"/>
      <c r="E193" s="460" t="s">
        <v>2423</v>
      </c>
      <c r="F193" s="472" t="str">
        <f t="shared" si="4"/>
        <v>VITEK FELLOWSHIP</v>
      </c>
      <c r="G193" s="473">
        <v>59407.54</v>
      </c>
      <c r="H193" s="474">
        <v>0</v>
      </c>
      <c r="I193" s="474">
        <v>-1135.74</v>
      </c>
      <c r="J193" s="474">
        <v>5794.47</v>
      </c>
      <c r="K193" s="474">
        <v>0</v>
      </c>
      <c r="L193" s="474">
        <v>159.52</v>
      </c>
      <c r="M193" s="474">
        <f t="shared" si="5"/>
        <v>64225.79</v>
      </c>
    </row>
    <row r="194" spans="1:13" ht="12.75" outlineLevel="1">
      <c r="A194" s="424" t="s">
        <v>2424</v>
      </c>
      <c r="C194" s="471"/>
      <c r="D194" s="471"/>
      <c r="E194" s="460" t="s">
        <v>2425</v>
      </c>
      <c r="F194" s="472" t="str">
        <f t="shared" si="4"/>
        <v>VOGT ENDOWED FUND</v>
      </c>
      <c r="G194" s="473">
        <v>14662.73</v>
      </c>
      <c r="H194" s="474">
        <v>0</v>
      </c>
      <c r="I194" s="474">
        <v>-248.31</v>
      </c>
      <c r="J194" s="474">
        <v>1431.56</v>
      </c>
      <c r="K194" s="474">
        <v>0</v>
      </c>
      <c r="L194" s="474">
        <v>0</v>
      </c>
      <c r="M194" s="474">
        <f t="shared" si="5"/>
        <v>15845.98</v>
      </c>
    </row>
    <row r="195" spans="1:13" ht="12.75" outlineLevel="1">
      <c r="A195" s="424" t="s">
        <v>2426</v>
      </c>
      <c r="C195" s="471"/>
      <c r="D195" s="471"/>
      <c r="E195" s="460" t="s">
        <v>2427</v>
      </c>
      <c r="F195" s="472" t="str">
        <f t="shared" si="4"/>
        <v>HAM WEBB END SCH FD</v>
      </c>
      <c r="G195" s="473">
        <v>598790.03</v>
      </c>
      <c r="H195" s="474">
        <v>1835</v>
      </c>
      <c r="I195" s="474">
        <v>-11037.71</v>
      </c>
      <c r="J195" s="474">
        <v>58365.39</v>
      </c>
      <c r="K195" s="474">
        <v>0</v>
      </c>
      <c r="L195" s="474">
        <v>0</v>
      </c>
      <c r="M195" s="474">
        <f t="shared" si="5"/>
        <v>647952.7100000001</v>
      </c>
    </row>
    <row r="196" spans="1:13" ht="12.75" outlineLevel="1">
      <c r="A196" s="424" t="s">
        <v>2428</v>
      </c>
      <c r="C196" s="471"/>
      <c r="D196" s="471"/>
      <c r="E196" s="460" t="s">
        <v>2429</v>
      </c>
      <c r="F196" s="472" t="str">
        <f t="shared" si="4"/>
        <v>BUD WEISER MEM SCHP</v>
      </c>
      <c r="G196" s="473">
        <v>32093.85</v>
      </c>
      <c r="H196" s="474">
        <v>0</v>
      </c>
      <c r="I196" s="474">
        <v>-617.36</v>
      </c>
      <c r="J196" s="474">
        <v>3126.03</v>
      </c>
      <c r="K196" s="474">
        <v>0</v>
      </c>
      <c r="L196" s="474">
        <v>0</v>
      </c>
      <c r="M196" s="474">
        <f t="shared" si="5"/>
        <v>34602.52</v>
      </c>
    </row>
    <row r="197" spans="1:13" ht="12.75" outlineLevel="1">
      <c r="A197" s="424" t="s">
        <v>2430</v>
      </c>
      <c r="C197" s="471"/>
      <c r="D197" s="471"/>
      <c r="E197" s="460" t="s">
        <v>2431</v>
      </c>
      <c r="F197" s="472" t="str">
        <f t="shared" si="4"/>
        <v>WEINER SCHP PLA</v>
      </c>
      <c r="G197" s="473">
        <v>51918.79</v>
      </c>
      <c r="H197" s="474">
        <v>0</v>
      </c>
      <c r="I197" s="474">
        <v>-998.74</v>
      </c>
      <c r="J197" s="474">
        <v>5057.04</v>
      </c>
      <c r="K197" s="474">
        <v>0</v>
      </c>
      <c r="L197" s="474">
        <v>0</v>
      </c>
      <c r="M197" s="474">
        <f t="shared" si="5"/>
        <v>55977.090000000004</v>
      </c>
    </row>
    <row r="198" spans="1:13" ht="12.75" outlineLevel="1">
      <c r="A198" s="424" t="s">
        <v>2432</v>
      </c>
      <c r="C198" s="471"/>
      <c r="D198" s="471"/>
      <c r="E198" s="460" t="s">
        <v>2433</v>
      </c>
      <c r="F198" s="472" t="str">
        <f t="shared" si="4"/>
        <v>WEST CHAP PROF ENG</v>
      </c>
      <c r="G198" s="473">
        <v>42956.25</v>
      </c>
      <c r="H198" s="474">
        <v>350</v>
      </c>
      <c r="I198" s="474">
        <v>-822.07</v>
      </c>
      <c r="J198" s="474">
        <v>4184.33</v>
      </c>
      <c r="K198" s="474">
        <v>0</v>
      </c>
      <c r="L198" s="474">
        <v>0</v>
      </c>
      <c r="M198" s="474">
        <f t="shared" si="5"/>
        <v>46668.51</v>
      </c>
    </row>
    <row r="199" spans="1:13" ht="12.75" outlineLevel="1">
      <c r="A199" s="424" t="s">
        <v>2434</v>
      </c>
      <c r="C199" s="471"/>
      <c r="D199" s="471"/>
      <c r="E199" s="460" t="s">
        <v>2435</v>
      </c>
      <c r="F199" s="472" t="str">
        <f t="shared" si="4"/>
        <v>CLARK WILSON SCHP</v>
      </c>
      <c r="G199" s="473">
        <v>14867.88</v>
      </c>
      <c r="H199" s="474">
        <v>200</v>
      </c>
      <c r="I199" s="474">
        <v>-274.51</v>
      </c>
      <c r="J199" s="474">
        <v>1452.62</v>
      </c>
      <c r="K199" s="474">
        <v>0</v>
      </c>
      <c r="L199" s="474">
        <v>0</v>
      </c>
      <c r="M199" s="474">
        <f t="shared" si="5"/>
        <v>16245.989999999998</v>
      </c>
    </row>
    <row r="200" spans="1:13" ht="12.75" outlineLevel="1">
      <c r="A200" s="424" t="s">
        <v>2436</v>
      </c>
      <c r="C200" s="471"/>
      <c r="D200" s="471"/>
      <c r="E200" s="460" t="s">
        <v>2437</v>
      </c>
      <c r="F200" s="445" t="str">
        <f t="shared" si="4"/>
        <v>WEINER ENDOW PSYCH</v>
      </c>
      <c r="G200" s="521">
        <v>54289.09</v>
      </c>
      <c r="H200" s="474">
        <v>0</v>
      </c>
      <c r="I200" s="474">
        <v>-1044.34</v>
      </c>
      <c r="J200" s="474">
        <v>5287.93</v>
      </c>
      <c r="K200" s="474">
        <v>0</v>
      </c>
      <c r="L200" s="474">
        <v>0</v>
      </c>
      <c r="M200" s="474">
        <f t="shared" si="5"/>
        <v>58532.68</v>
      </c>
    </row>
    <row r="201" spans="1:13" ht="12.75" outlineLevel="1">
      <c r="A201" s="424" t="s">
        <v>2438</v>
      </c>
      <c r="C201" s="471"/>
      <c r="D201" s="471"/>
      <c r="E201" s="460" t="s">
        <v>2439</v>
      </c>
      <c r="F201" s="445" t="str">
        <f t="shared" si="4"/>
        <v>WEINER ENDOW ECON</v>
      </c>
      <c r="G201" s="521">
        <v>51918.66</v>
      </c>
      <c r="H201" s="474">
        <v>0</v>
      </c>
      <c r="I201" s="474">
        <v>-998.74</v>
      </c>
      <c r="J201" s="474">
        <v>5057.03</v>
      </c>
      <c r="K201" s="474">
        <v>0</v>
      </c>
      <c r="L201" s="474">
        <v>0</v>
      </c>
      <c r="M201" s="474">
        <f t="shared" si="5"/>
        <v>55976.950000000004</v>
      </c>
    </row>
    <row r="202" spans="1:13" ht="12.75" outlineLevel="1">
      <c r="A202" s="424" t="s">
        <v>2440</v>
      </c>
      <c r="C202" s="471"/>
      <c r="D202" s="471"/>
      <c r="E202" s="460" t="s">
        <v>2441</v>
      </c>
      <c r="F202" s="472" t="str">
        <f t="shared" si="4"/>
        <v>WEINER ENDOW HISTORY</v>
      </c>
      <c r="G202" s="473">
        <v>51010.23</v>
      </c>
      <c r="H202" s="474">
        <v>0</v>
      </c>
      <c r="I202" s="474">
        <v>-979.19</v>
      </c>
      <c r="J202" s="474">
        <v>4968.73</v>
      </c>
      <c r="K202" s="474">
        <v>0</v>
      </c>
      <c r="L202" s="474">
        <v>0</v>
      </c>
      <c r="M202" s="474">
        <f t="shared" si="5"/>
        <v>54999.770000000004</v>
      </c>
    </row>
    <row r="203" spans="1:13" ht="12.75" outlineLevel="1">
      <c r="A203" s="424" t="s">
        <v>2442</v>
      </c>
      <c r="C203" s="471"/>
      <c r="D203" s="471"/>
      <c r="E203" s="460" t="s">
        <v>2443</v>
      </c>
      <c r="F203" s="472" t="str">
        <f aca="true" t="shared" si="6" ref="F203:F266">UPPER(E203)</f>
        <v>WITT MINE SAFETY SCH</v>
      </c>
      <c r="G203" s="473">
        <v>7551.86</v>
      </c>
      <c r="H203" s="474">
        <v>0</v>
      </c>
      <c r="I203" s="474">
        <v>-145.27</v>
      </c>
      <c r="J203" s="474">
        <v>735.58</v>
      </c>
      <c r="K203" s="474">
        <v>0</v>
      </c>
      <c r="L203" s="474">
        <v>0</v>
      </c>
      <c r="M203" s="474">
        <f aca="true" t="shared" si="7" ref="M203:M266">G203+H203+I203+J203-K203+L203</f>
        <v>8142.169999999999</v>
      </c>
    </row>
    <row r="204" spans="1:13" ht="12.75" outlineLevel="1">
      <c r="A204" s="424" t="s">
        <v>2444</v>
      </c>
      <c r="C204" s="471"/>
      <c r="D204" s="471"/>
      <c r="E204" s="460" t="s">
        <v>2445</v>
      </c>
      <c r="F204" s="472" t="str">
        <f t="shared" si="6"/>
        <v>WEINER ENDOW ENGLISH</v>
      </c>
      <c r="G204" s="473">
        <v>51918.79</v>
      </c>
      <c r="H204" s="474">
        <v>0</v>
      </c>
      <c r="I204" s="474">
        <v>-998.74</v>
      </c>
      <c r="J204" s="474">
        <v>5057.04</v>
      </c>
      <c r="K204" s="474">
        <v>0</v>
      </c>
      <c r="L204" s="474">
        <v>0</v>
      </c>
      <c r="M204" s="474">
        <f t="shared" si="7"/>
        <v>55977.090000000004</v>
      </c>
    </row>
    <row r="205" spans="1:13" ht="12.75" outlineLevel="1">
      <c r="A205" s="424" t="s">
        <v>2446</v>
      </c>
      <c r="C205" s="471"/>
      <c r="D205" s="471"/>
      <c r="E205" s="460" t="s">
        <v>2447</v>
      </c>
      <c r="F205" s="472" t="str">
        <f t="shared" si="6"/>
        <v>WEINER ENDW MGMT SYS</v>
      </c>
      <c r="G205" s="473">
        <v>51916.56</v>
      </c>
      <c r="H205" s="474">
        <v>0</v>
      </c>
      <c r="I205" s="474">
        <v>-998.7</v>
      </c>
      <c r="J205" s="474">
        <v>5056.82</v>
      </c>
      <c r="K205" s="474">
        <v>0</v>
      </c>
      <c r="L205" s="474">
        <v>0</v>
      </c>
      <c r="M205" s="474">
        <f t="shared" si="7"/>
        <v>55974.68</v>
      </c>
    </row>
    <row r="206" spans="1:13" ht="12.75" outlineLevel="1">
      <c r="A206" s="424" t="s">
        <v>2448</v>
      </c>
      <c r="C206" s="471"/>
      <c r="D206" s="471"/>
      <c r="E206" s="460" t="s">
        <v>2449</v>
      </c>
      <c r="F206" s="472" t="str">
        <f t="shared" si="6"/>
        <v>WEINER INTERNATIONAL</v>
      </c>
      <c r="G206" s="473">
        <v>141875.62</v>
      </c>
      <c r="H206" s="474">
        <v>0</v>
      </c>
      <c r="I206" s="474">
        <v>-2729.19</v>
      </c>
      <c r="J206" s="474">
        <v>13819.11</v>
      </c>
      <c r="K206" s="474">
        <v>0</v>
      </c>
      <c r="L206" s="474">
        <v>0</v>
      </c>
      <c r="M206" s="474">
        <f t="shared" si="7"/>
        <v>152965.53999999998</v>
      </c>
    </row>
    <row r="207" spans="1:13" ht="12.75" outlineLevel="1">
      <c r="A207" s="424" t="s">
        <v>2450</v>
      </c>
      <c r="C207" s="471"/>
      <c r="D207" s="471"/>
      <c r="E207" s="460" t="s">
        <v>2451</v>
      </c>
      <c r="F207" s="472" t="str">
        <f t="shared" si="6"/>
        <v>L E WOODMAN MEM SCHP</v>
      </c>
      <c r="G207" s="473">
        <v>28466.05</v>
      </c>
      <c r="H207" s="474">
        <v>0</v>
      </c>
      <c r="I207" s="474">
        <v>0</v>
      </c>
      <c r="J207" s="474">
        <v>-1195.42</v>
      </c>
      <c r="K207" s="474">
        <v>0</v>
      </c>
      <c r="L207" s="474">
        <v>0</v>
      </c>
      <c r="M207" s="474">
        <f t="shared" si="7"/>
        <v>27270.629999999997</v>
      </c>
    </row>
    <row r="208" spans="1:13" ht="12.75" outlineLevel="1">
      <c r="A208" s="424" t="s">
        <v>2452</v>
      </c>
      <c r="C208" s="471"/>
      <c r="D208" s="471"/>
      <c r="E208" s="460" t="s">
        <v>2453</v>
      </c>
      <c r="F208" s="472" t="str">
        <f t="shared" si="6"/>
        <v>WYATT SCHP</v>
      </c>
      <c r="G208" s="473">
        <v>64376.48</v>
      </c>
      <c r="H208" s="474">
        <v>500</v>
      </c>
      <c r="I208" s="474">
        <v>-1218.12</v>
      </c>
      <c r="J208" s="474">
        <v>6262.62</v>
      </c>
      <c r="K208" s="474">
        <v>0</v>
      </c>
      <c r="L208" s="474">
        <v>0</v>
      </c>
      <c r="M208" s="474">
        <f t="shared" si="7"/>
        <v>69920.98</v>
      </c>
    </row>
    <row r="209" spans="1:13" ht="12.75" outlineLevel="1">
      <c r="A209" s="424" t="s">
        <v>2454</v>
      </c>
      <c r="C209" s="471"/>
      <c r="D209" s="471"/>
      <c r="E209" s="460" t="s">
        <v>2455</v>
      </c>
      <c r="F209" s="472" t="str">
        <f t="shared" si="6"/>
        <v>WISHERD ENDOW SCHP</v>
      </c>
      <c r="G209" s="473">
        <v>24191.8</v>
      </c>
      <c r="H209" s="474">
        <v>0</v>
      </c>
      <c r="I209" s="474">
        <v>-465.35</v>
      </c>
      <c r="J209" s="474">
        <v>2356.35</v>
      </c>
      <c r="K209" s="474">
        <v>0</v>
      </c>
      <c r="L209" s="474">
        <v>0</v>
      </c>
      <c r="M209" s="474">
        <f t="shared" si="7"/>
        <v>26082.8</v>
      </c>
    </row>
    <row r="210" spans="1:13" ht="12.75" outlineLevel="1">
      <c r="A210" s="424" t="s">
        <v>2456</v>
      </c>
      <c r="C210" s="471"/>
      <c r="D210" s="471"/>
      <c r="E210" s="460" t="s">
        <v>2457</v>
      </c>
      <c r="F210" s="472" t="str">
        <f t="shared" si="6"/>
        <v>THOMPSON D SCHOLAR</v>
      </c>
      <c r="G210" s="473">
        <v>16826.52</v>
      </c>
      <c r="H210" s="474">
        <v>0</v>
      </c>
      <c r="I210" s="474">
        <v>-323.66</v>
      </c>
      <c r="J210" s="474">
        <v>1638.94</v>
      </c>
      <c r="K210" s="474">
        <v>0</v>
      </c>
      <c r="L210" s="474">
        <v>0</v>
      </c>
      <c r="M210" s="474">
        <f t="shared" si="7"/>
        <v>18141.8</v>
      </c>
    </row>
    <row r="211" spans="1:13" ht="12.75" outlineLevel="1">
      <c r="A211" s="424" t="s">
        <v>2458</v>
      </c>
      <c r="C211" s="471"/>
      <c r="D211" s="471"/>
      <c r="E211" s="460" t="s">
        <v>2459</v>
      </c>
      <c r="F211" s="472" t="str">
        <f t="shared" si="6"/>
        <v>L E YOUNG SCHP</v>
      </c>
      <c r="G211" s="473">
        <v>170408.41</v>
      </c>
      <c r="H211" s="474">
        <v>0</v>
      </c>
      <c r="I211" s="474">
        <v>-3278.06</v>
      </c>
      <c r="J211" s="474">
        <v>16598.28</v>
      </c>
      <c r="K211" s="474">
        <v>0</v>
      </c>
      <c r="L211" s="474">
        <v>0</v>
      </c>
      <c r="M211" s="474">
        <f t="shared" si="7"/>
        <v>183728.63</v>
      </c>
    </row>
    <row r="212" spans="1:13" ht="12.75" outlineLevel="1">
      <c r="A212" s="424" t="s">
        <v>2460</v>
      </c>
      <c r="C212" s="471"/>
      <c r="D212" s="471"/>
      <c r="E212" s="460" t="s">
        <v>2461</v>
      </c>
      <c r="F212" s="472" t="str">
        <f t="shared" si="6"/>
        <v>MARVIN ZEID SCHP</v>
      </c>
      <c r="G212" s="473">
        <v>45329.89</v>
      </c>
      <c r="H212" s="474">
        <v>0</v>
      </c>
      <c r="I212" s="474">
        <v>-872</v>
      </c>
      <c r="J212" s="474">
        <v>4415.25</v>
      </c>
      <c r="K212" s="474">
        <v>0</v>
      </c>
      <c r="L212" s="474">
        <v>0</v>
      </c>
      <c r="M212" s="474">
        <f t="shared" si="7"/>
        <v>48873.14</v>
      </c>
    </row>
    <row r="213" spans="1:13" ht="12.75" outlineLevel="1">
      <c r="A213" s="424" t="s">
        <v>2462</v>
      </c>
      <c r="C213" s="471"/>
      <c r="D213" s="471"/>
      <c r="E213" s="460" t="s">
        <v>2463</v>
      </c>
      <c r="F213" s="472" t="str">
        <f t="shared" si="6"/>
        <v>HAYDON ENDOWED SCHOL</v>
      </c>
      <c r="G213" s="473">
        <v>28573.79</v>
      </c>
      <c r="H213" s="474">
        <v>0</v>
      </c>
      <c r="I213" s="474">
        <v>-549.67</v>
      </c>
      <c r="J213" s="474">
        <v>2783.16</v>
      </c>
      <c r="K213" s="474">
        <v>0</v>
      </c>
      <c r="L213" s="474">
        <v>0</v>
      </c>
      <c r="M213" s="474">
        <f t="shared" si="7"/>
        <v>30807.280000000002</v>
      </c>
    </row>
    <row r="214" spans="1:13" ht="12.75" outlineLevel="1">
      <c r="A214" s="424" t="s">
        <v>2464</v>
      </c>
      <c r="C214" s="471"/>
      <c r="D214" s="471"/>
      <c r="E214" s="460" t="s">
        <v>2465</v>
      </c>
      <c r="F214" s="472" t="str">
        <f t="shared" si="6"/>
        <v>ACADEMY CHEMICAL ENG</v>
      </c>
      <c r="G214" s="473">
        <v>10987.76</v>
      </c>
      <c r="H214" s="474">
        <v>0</v>
      </c>
      <c r="I214" s="474">
        <v>-183.52</v>
      </c>
      <c r="J214" s="474">
        <v>1101.22</v>
      </c>
      <c r="K214" s="474">
        <v>0</v>
      </c>
      <c r="L214" s="474">
        <v>1956.88</v>
      </c>
      <c r="M214" s="474">
        <f t="shared" si="7"/>
        <v>13862.34</v>
      </c>
    </row>
    <row r="215" spans="1:13" ht="12.75" outlineLevel="1">
      <c r="A215" s="424" t="s">
        <v>2466</v>
      </c>
      <c r="C215" s="471"/>
      <c r="D215" s="471"/>
      <c r="E215" s="460" t="s">
        <v>2467</v>
      </c>
      <c r="F215" s="472" t="str">
        <f t="shared" si="6"/>
        <v>BAILEY MISSOURI PROF</v>
      </c>
      <c r="G215" s="473">
        <v>379925.62</v>
      </c>
      <c r="H215" s="474">
        <v>250000</v>
      </c>
      <c r="I215" s="474">
        <v>-3769.1</v>
      </c>
      <c r="J215" s="474">
        <v>32426.82</v>
      </c>
      <c r="K215" s="474">
        <v>0</v>
      </c>
      <c r="L215" s="474">
        <v>0</v>
      </c>
      <c r="M215" s="474">
        <f t="shared" si="7"/>
        <v>658583.34</v>
      </c>
    </row>
    <row r="216" spans="1:13" ht="12.75" outlineLevel="1">
      <c r="A216" s="424" t="s">
        <v>2468</v>
      </c>
      <c r="C216" s="471"/>
      <c r="D216" s="471"/>
      <c r="E216" s="460" t="s">
        <v>2469</v>
      </c>
      <c r="F216" s="472" t="str">
        <f t="shared" si="6"/>
        <v>FRANK APPLEYARD END</v>
      </c>
      <c r="G216" s="473">
        <v>128922.38</v>
      </c>
      <c r="H216" s="474">
        <v>0</v>
      </c>
      <c r="I216" s="474">
        <v>-2480</v>
      </c>
      <c r="J216" s="474">
        <v>12557.4</v>
      </c>
      <c r="K216" s="474">
        <v>0</v>
      </c>
      <c r="L216" s="474">
        <v>0</v>
      </c>
      <c r="M216" s="474">
        <f t="shared" si="7"/>
        <v>138999.78</v>
      </c>
    </row>
    <row r="217" spans="1:13" ht="12.75" outlineLevel="1">
      <c r="A217" s="424" t="s">
        <v>2470</v>
      </c>
      <c r="C217" s="471"/>
      <c r="D217" s="471"/>
      <c r="E217" s="460" t="s">
        <v>2471</v>
      </c>
      <c r="F217" s="472" t="str">
        <f t="shared" si="6"/>
        <v>C E ALUMNI ASSISTANT</v>
      </c>
      <c r="G217" s="473">
        <v>48011.42</v>
      </c>
      <c r="H217" s="474">
        <v>0</v>
      </c>
      <c r="I217" s="474">
        <v>-923.57</v>
      </c>
      <c r="J217" s="474">
        <v>4676.44</v>
      </c>
      <c r="K217" s="474">
        <v>0</v>
      </c>
      <c r="L217" s="474">
        <v>0</v>
      </c>
      <c r="M217" s="474">
        <f t="shared" si="7"/>
        <v>51764.29</v>
      </c>
    </row>
    <row r="218" spans="1:13" ht="12.75" outlineLevel="1">
      <c r="A218" s="424" t="s">
        <v>2472</v>
      </c>
      <c r="C218" s="471"/>
      <c r="D218" s="471"/>
      <c r="E218" s="460" t="s">
        <v>2473</v>
      </c>
      <c r="F218" s="472" t="str">
        <f t="shared" si="6"/>
        <v>CLASS OF 1937 FAC EX</v>
      </c>
      <c r="G218" s="473">
        <v>44887.26</v>
      </c>
      <c r="H218" s="474">
        <v>0</v>
      </c>
      <c r="I218" s="474">
        <v>-863.47</v>
      </c>
      <c r="J218" s="474">
        <v>4372.14</v>
      </c>
      <c r="K218" s="474">
        <v>0</v>
      </c>
      <c r="L218" s="474">
        <v>0</v>
      </c>
      <c r="M218" s="474">
        <f t="shared" si="7"/>
        <v>48395.93</v>
      </c>
    </row>
    <row r="219" spans="1:13" ht="12.75" outlineLevel="1">
      <c r="A219" s="424" t="s">
        <v>2474</v>
      </c>
      <c r="C219" s="471"/>
      <c r="D219" s="471"/>
      <c r="E219" s="460" t="s">
        <v>2475</v>
      </c>
      <c r="F219" s="472" t="str">
        <f t="shared" si="6"/>
        <v>DAILY MGMT OF TECH</v>
      </c>
      <c r="G219" s="473">
        <v>50407.84</v>
      </c>
      <c r="H219" s="474">
        <v>0</v>
      </c>
      <c r="I219" s="474">
        <v>-969.65</v>
      </c>
      <c r="J219" s="474">
        <v>4909.85</v>
      </c>
      <c r="K219" s="474">
        <v>0</v>
      </c>
      <c r="L219" s="474">
        <v>0</v>
      </c>
      <c r="M219" s="474">
        <f t="shared" si="7"/>
        <v>54348.03999999999</v>
      </c>
    </row>
    <row r="220" spans="1:13" ht="12.75" outlineLevel="1">
      <c r="A220" s="424" t="s">
        <v>2476</v>
      </c>
      <c r="C220" s="471"/>
      <c r="D220" s="471"/>
      <c r="E220" s="460" t="s">
        <v>2477</v>
      </c>
      <c r="F220" s="472" t="str">
        <f t="shared" si="6"/>
        <v>ORDER GOLDEN END</v>
      </c>
      <c r="G220" s="473">
        <v>351408.47</v>
      </c>
      <c r="H220" s="474">
        <v>5800</v>
      </c>
      <c r="I220" s="474">
        <v>-5779.99</v>
      </c>
      <c r="J220" s="474">
        <v>34352.68</v>
      </c>
      <c r="K220" s="474">
        <v>0</v>
      </c>
      <c r="L220" s="474">
        <v>0</v>
      </c>
      <c r="M220" s="474">
        <f t="shared" si="7"/>
        <v>385781.16</v>
      </c>
    </row>
    <row r="221" spans="1:13" ht="12.75" outlineLevel="1">
      <c r="A221" s="424" t="s">
        <v>2478</v>
      </c>
      <c r="C221" s="471"/>
      <c r="D221" s="471"/>
      <c r="E221" s="460" t="s">
        <v>2479</v>
      </c>
      <c r="F221" s="472" t="str">
        <f t="shared" si="6"/>
        <v>DAKE-BROWN LIBR ACQ</v>
      </c>
      <c r="G221" s="473">
        <v>74954.39</v>
      </c>
      <c r="H221" s="474">
        <v>0</v>
      </c>
      <c r="I221" s="474">
        <v>-1441.86</v>
      </c>
      <c r="J221" s="474">
        <v>7300.78</v>
      </c>
      <c r="K221" s="474">
        <v>0</v>
      </c>
      <c r="L221" s="474">
        <v>0</v>
      </c>
      <c r="M221" s="474">
        <f t="shared" si="7"/>
        <v>80813.31</v>
      </c>
    </row>
    <row r="222" spans="1:13" ht="12.75" outlineLevel="1">
      <c r="A222" s="424" t="s">
        <v>2480</v>
      </c>
      <c r="C222" s="471"/>
      <c r="D222" s="471"/>
      <c r="E222" s="460" t="s">
        <v>2481</v>
      </c>
      <c r="F222" s="472" t="str">
        <f t="shared" si="6"/>
        <v>ENG MGMT END ST EXCL</v>
      </c>
      <c r="G222" s="473">
        <v>14133.76</v>
      </c>
      <c r="H222" s="474">
        <v>500</v>
      </c>
      <c r="I222" s="474">
        <v>-264.77</v>
      </c>
      <c r="J222" s="474">
        <v>1367.52</v>
      </c>
      <c r="K222" s="474">
        <v>0</v>
      </c>
      <c r="L222" s="474">
        <v>0</v>
      </c>
      <c r="M222" s="474">
        <f t="shared" si="7"/>
        <v>15736.51</v>
      </c>
    </row>
    <row r="223" spans="1:13" ht="12.75" outlineLevel="1">
      <c r="A223" s="424" t="s">
        <v>2482</v>
      </c>
      <c r="C223" s="471"/>
      <c r="D223" s="471"/>
      <c r="E223" s="460" t="s">
        <v>2483</v>
      </c>
      <c r="F223" s="472" t="str">
        <f t="shared" si="6"/>
        <v>ELECT COMP LAB END</v>
      </c>
      <c r="G223" s="473">
        <v>16147.46</v>
      </c>
      <c r="H223" s="474">
        <v>0</v>
      </c>
      <c r="I223" s="474">
        <v>-310.61</v>
      </c>
      <c r="J223" s="474">
        <v>1572.83</v>
      </c>
      <c r="K223" s="474">
        <v>0</v>
      </c>
      <c r="L223" s="474">
        <v>0</v>
      </c>
      <c r="M223" s="474">
        <f t="shared" si="7"/>
        <v>17409.68</v>
      </c>
    </row>
    <row r="224" spans="1:13" ht="12.75" outlineLevel="1">
      <c r="A224" s="424" t="s">
        <v>2484</v>
      </c>
      <c r="C224" s="471"/>
      <c r="D224" s="471"/>
      <c r="E224" s="460" t="s">
        <v>2485</v>
      </c>
      <c r="F224" s="472" t="str">
        <f t="shared" si="6"/>
        <v>FACULTY EXCELLENCE</v>
      </c>
      <c r="G224" s="473">
        <v>436942.43</v>
      </c>
      <c r="H224" s="474">
        <v>0</v>
      </c>
      <c r="I224" s="474">
        <v>-8405.26</v>
      </c>
      <c r="J224" s="474">
        <v>42559.45</v>
      </c>
      <c r="K224" s="474">
        <v>0</v>
      </c>
      <c r="L224" s="474">
        <v>0</v>
      </c>
      <c r="M224" s="474">
        <f t="shared" si="7"/>
        <v>471096.62</v>
      </c>
    </row>
    <row r="225" spans="1:13" ht="12.75" outlineLevel="1">
      <c r="A225" s="424" t="s">
        <v>2486</v>
      </c>
      <c r="C225" s="471"/>
      <c r="D225" s="471"/>
      <c r="E225" s="460" t="s">
        <v>2487</v>
      </c>
      <c r="F225" s="472" t="str">
        <f t="shared" si="6"/>
        <v>FCR MO PROF CHEMISTR</v>
      </c>
      <c r="G225" s="473">
        <v>681516.73</v>
      </c>
      <c r="H225" s="474">
        <v>0</v>
      </c>
      <c r="I225" s="474">
        <v>-13109.31</v>
      </c>
      <c r="J225" s="474">
        <v>66381.22</v>
      </c>
      <c r="K225" s="474">
        <v>0</v>
      </c>
      <c r="L225" s="474">
        <v>0</v>
      </c>
      <c r="M225" s="474">
        <f t="shared" si="7"/>
        <v>734788.6399999999</v>
      </c>
    </row>
    <row r="226" spans="1:13" ht="12.75" outlineLevel="1">
      <c r="A226" s="424" t="s">
        <v>2488</v>
      </c>
      <c r="C226" s="471"/>
      <c r="D226" s="471"/>
      <c r="E226" s="460" t="s">
        <v>2489</v>
      </c>
      <c r="F226" s="472" t="str">
        <f t="shared" si="6"/>
        <v>FCR ENDOWED EQUP</v>
      </c>
      <c r="G226" s="473">
        <v>99280.15</v>
      </c>
      <c r="H226" s="474">
        <v>1070</v>
      </c>
      <c r="I226" s="474">
        <v>8.3</v>
      </c>
      <c r="J226" s="474">
        <v>-4178.94</v>
      </c>
      <c r="K226" s="474">
        <v>0</v>
      </c>
      <c r="L226" s="474">
        <v>0</v>
      </c>
      <c r="M226" s="474">
        <f t="shared" si="7"/>
        <v>96179.51</v>
      </c>
    </row>
    <row r="227" spans="1:13" ht="12.75" outlineLevel="1">
      <c r="A227" s="424" t="s">
        <v>2490</v>
      </c>
      <c r="C227" s="471"/>
      <c r="D227" s="471"/>
      <c r="E227" s="460" t="s">
        <v>2491</v>
      </c>
      <c r="F227" s="472" t="str">
        <f t="shared" si="6"/>
        <v>FICK END MINES &amp; MET</v>
      </c>
      <c r="G227" s="473">
        <v>183407.71</v>
      </c>
      <c r="H227" s="474">
        <v>5196.45</v>
      </c>
      <c r="I227" s="474">
        <v>-3376.26</v>
      </c>
      <c r="J227" s="474">
        <v>18212.18</v>
      </c>
      <c r="K227" s="474">
        <v>0</v>
      </c>
      <c r="L227" s="474">
        <v>0</v>
      </c>
      <c r="M227" s="474">
        <f t="shared" si="7"/>
        <v>203440.08</v>
      </c>
    </row>
    <row r="228" spans="1:13" ht="12.75" outlineLevel="1">
      <c r="A228" s="424" t="s">
        <v>2492</v>
      </c>
      <c r="C228" s="471"/>
      <c r="D228" s="471"/>
      <c r="E228" s="460" t="s">
        <v>2493</v>
      </c>
      <c r="F228" s="472" t="str">
        <f t="shared" si="6"/>
        <v>FINLEY FACULTY ENH</v>
      </c>
      <c r="G228" s="473">
        <v>103698.35</v>
      </c>
      <c r="H228" s="474">
        <v>0</v>
      </c>
      <c r="I228" s="474">
        <v>-1994.78</v>
      </c>
      <c r="J228" s="474">
        <v>10100.53</v>
      </c>
      <c r="K228" s="474">
        <v>0</v>
      </c>
      <c r="L228" s="474">
        <v>0</v>
      </c>
      <c r="M228" s="474">
        <f t="shared" si="7"/>
        <v>111804.1</v>
      </c>
    </row>
    <row r="229" spans="1:13" ht="12.75" outlineLevel="1">
      <c r="A229" s="424" t="s">
        <v>2494</v>
      </c>
      <c r="C229" s="471"/>
      <c r="D229" s="471"/>
      <c r="E229" s="460" t="s">
        <v>2495</v>
      </c>
      <c r="F229" s="472" t="str">
        <f t="shared" si="6"/>
        <v>FINLEY PROF ELEC ENG</v>
      </c>
      <c r="G229" s="473">
        <v>790604.44</v>
      </c>
      <c r="H229" s="474">
        <v>0</v>
      </c>
      <c r="I229" s="474">
        <v>-15208.48</v>
      </c>
      <c r="J229" s="474">
        <v>77007.17</v>
      </c>
      <c r="K229" s="474">
        <v>0</v>
      </c>
      <c r="L229" s="474">
        <v>0</v>
      </c>
      <c r="M229" s="474">
        <f t="shared" si="7"/>
        <v>852403.13</v>
      </c>
    </row>
    <row r="230" spans="1:13" ht="12.75" outlineLevel="1">
      <c r="A230" s="424" t="s">
        <v>2496</v>
      </c>
      <c r="C230" s="471"/>
      <c r="D230" s="471"/>
      <c r="E230" s="460" t="s">
        <v>2497</v>
      </c>
      <c r="F230" s="472" t="str">
        <f t="shared" si="6"/>
        <v>FINLEY MO PROF</v>
      </c>
      <c r="G230" s="473">
        <v>749903.36</v>
      </c>
      <c r="H230" s="474">
        <v>0</v>
      </c>
      <c r="I230" s="474">
        <v>-14425.51</v>
      </c>
      <c r="J230" s="474">
        <v>73042.77</v>
      </c>
      <c r="K230" s="474">
        <v>0</v>
      </c>
      <c r="L230" s="474">
        <v>0</v>
      </c>
      <c r="M230" s="474">
        <f t="shared" si="7"/>
        <v>808520.62</v>
      </c>
    </row>
    <row r="231" spans="1:13" ht="12.75" outlineLevel="1">
      <c r="A231" s="424" t="s">
        <v>2498</v>
      </c>
      <c r="C231" s="471"/>
      <c r="D231" s="471"/>
      <c r="E231" s="460" t="s">
        <v>2499</v>
      </c>
      <c r="F231" s="472" t="str">
        <f t="shared" si="6"/>
        <v>GULF OIL FDN PROF</v>
      </c>
      <c r="G231" s="473">
        <v>330529.69</v>
      </c>
      <c r="H231" s="474">
        <v>0</v>
      </c>
      <c r="I231" s="474">
        <v>-6358.24</v>
      </c>
      <c r="J231" s="474">
        <v>32194.57</v>
      </c>
      <c r="K231" s="474">
        <v>0</v>
      </c>
      <c r="L231" s="474">
        <v>0</v>
      </c>
      <c r="M231" s="474">
        <f t="shared" si="7"/>
        <v>356366.02</v>
      </c>
    </row>
    <row r="232" spans="1:13" ht="12.75" outlineLevel="1">
      <c r="A232" s="424" t="s">
        <v>2500</v>
      </c>
      <c r="C232" s="471"/>
      <c r="D232" s="471"/>
      <c r="E232" s="460" t="s">
        <v>2501</v>
      </c>
      <c r="F232" s="472" t="str">
        <f t="shared" si="6"/>
        <v>HALLETT FUND</v>
      </c>
      <c r="G232" s="473">
        <v>37638.36</v>
      </c>
      <c r="H232" s="474">
        <v>0</v>
      </c>
      <c r="I232" s="474">
        <v>-724.04</v>
      </c>
      <c r="J232" s="474">
        <v>3666.08</v>
      </c>
      <c r="K232" s="474">
        <v>0</v>
      </c>
      <c r="L232" s="474">
        <v>0</v>
      </c>
      <c r="M232" s="474">
        <f t="shared" si="7"/>
        <v>40580.4</v>
      </c>
    </row>
    <row r="233" spans="1:13" ht="12.75" outlineLevel="1">
      <c r="A233" s="424" t="s">
        <v>2502</v>
      </c>
      <c r="C233" s="471"/>
      <c r="D233" s="471"/>
      <c r="E233" s="460" t="s">
        <v>2503</v>
      </c>
      <c r="F233" s="472" t="str">
        <f t="shared" si="6"/>
        <v>HASSELMANN PROF</v>
      </c>
      <c r="G233" s="473">
        <v>1285961.52</v>
      </c>
      <c r="H233" s="474">
        <v>0</v>
      </c>
      <c r="I233" s="474">
        <v>-24737.5</v>
      </c>
      <c r="J233" s="474">
        <v>125256.37</v>
      </c>
      <c r="K233" s="474">
        <v>0</v>
      </c>
      <c r="L233" s="474">
        <v>0</v>
      </c>
      <c r="M233" s="474">
        <f t="shared" si="7"/>
        <v>1386480.3900000001</v>
      </c>
    </row>
    <row r="234" spans="1:13" ht="12.75" outlineLevel="1">
      <c r="A234" s="424" t="s">
        <v>2504</v>
      </c>
      <c r="C234" s="471"/>
      <c r="D234" s="471"/>
      <c r="E234" s="460" t="s">
        <v>2505</v>
      </c>
      <c r="F234" s="472" t="str">
        <f t="shared" si="6"/>
        <v>INGRAM LECTURES</v>
      </c>
      <c r="G234" s="473">
        <v>11388.33</v>
      </c>
      <c r="H234" s="474">
        <v>0</v>
      </c>
      <c r="I234" s="474">
        <v>-219.06</v>
      </c>
      <c r="J234" s="474">
        <v>1109.25</v>
      </c>
      <c r="K234" s="474">
        <v>0</v>
      </c>
      <c r="L234" s="474">
        <v>0</v>
      </c>
      <c r="M234" s="474">
        <f t="shared" si="7"/>
        <v>12278.52</v>
      </c>
    </row>
    <row r="235" spans="1:13" ht="12.75" outlineLevel="1">
      <c r="A235" s="424" t="s">
        <v>2506</v>
      </c>
      <c r="C235" s="471"/>
      <c r="D235" s="471"/>
      <c r="E235" s="460" t="s">
        <v>2507</v>
      </c>
      <c r="F235" s="472" t="str">
        <f t="shared" si="6"/>
        <v>HOLMES ENDOWED FUND</v>
      </c>
      <c r="G235" s="473">
        <v>1908612.19</v>
      </c>
      <c r="H235" s="474">
        <v>485000</v>
      </c>
      <c r="I235" s="474">
        <v>-31213.47</v>
      </c>
      <c r="J235" s="474">
        <v>177872.52</v>
      </c>
      <c r="K235" s="474">
        <v>0</v>
      </c>
      <c r="L235" s="474">
        <v>-95430.61</v>
      </c>
      <c r="M235" s="474">
        <f t="shared" si="7"/>
        <v>2444840.63</v>
      </c>
    </row>
    <row r="236" spans="1:13" ht="12.75" outlineLevel="1">
      <c r="A236" s="424" t="s">
        <v>2508</v>
      </c>
      <c r="C236" s="471"/>
      <c r="D236" s="471"/>
      <c r="E236" s="460" t="s">
        <v>2509</v>
      </c>
      <c r="F236" s="472" t="str">
        <f t="shared" si="6"/>
        <v>HORST ENDOWED FUND</v>
      </c>
      <c r="G236" s="473">
        <v>83560.27</v>
      </c>
      <c r="H236" s="474">
        <v>0</v>
      </c>
      <c r="I236" s="474">
        <v>-1607.19</v>
      </c>
      <c r="J236" s="474">
        <v>8141.14</v>
      </c>
      <c r="K236" s="474">
        <v>0</v>
      </c>
      <c r="L236" s="474">
        <v>0</v>
      </c>
      <c r="M236" s="474">
        <f t="shared" si="7"/>
        <v>90094.22</v>
      </c>
    </row>
    <row r="237" spans="1:13" ht="12.75" outlineLevel="1">
      <c r="A237" s="424" t="s">
        <v>2510</v>
      </c>
      <c r="C237" s="471"/>
      <c r="D237" s="471"/>
      <c r="E237" s="460" t="s">
        <v>2511</v>
      </c>
      <c r="F237" s="472" t="str">
        <f t="shared" si="6"/>
        <v>HEILSCHER ENDOWED FD</v>
      </c>
      <c r="G237" s="473">
        <v>116817.21</v>
      </c>
      <c r="H237" s="474">
        <v>0</v>
      </c>
      <c r="I237" s="474">
        <v>-2247.16</v>
      </c>
      <c r="J237" s="474">
        <v>11378.34</v>
      </c>
      <c r="K237" s="474">
        <v>0</v>
      </c>
      <c r="L237" s="474">
        <v>0</v>
      </c>
      <c r="M237" s="474">
        <f t="shared" si="7"/>
        <v>125948.39</v>
      </c>
    </row>
    <row r="238" spans="1:13" ht="12.75" outlineLevel="1">
      <c r="A238" s="424" t="s">
        <v>2512</v>
      </c>
      <c r="C238" s="471"/>
      <c r="D238" s="471"/>
      <c r="E238" s="460" t="s">
        <v>2513</v>
      </c>
      <c r="F238" s="472" t="str">
        <f t="shared" si="6"/>
        <v>KUMR ENDOW FUND</v>
      </c>
      <c r="G238" s="473">
        <v>39510.53</v>
      </c>
      <c r="H238" s="474">
        <v>3966.81</v>
      </c>
      <c r="I238" s="474">
        <v>-675.63</v>
      </c>
      <c r="J238" s="474">
        <v>3837.22</v>
      </c>
      <c r="K238" s="474">
        <v>0</v>
      </c>
      <c r="L238" s="474">
        <v>0</v>
      </c>
      <c r="M238" s="474">
        <f t="shared" si="7"/>
        <v>46638.93</v>
      </c>
    </row>
    <row r="239" spans="1:13" ht="12.75" outlineLevel="1">
      <c r="A239" s="424" t="s">
        <v>2514</v>
      </c>
      <c r="C239" s="471"/>
      <c r="D239" s="471"/>
      <c r="E239" s="460" t="s">
        <v>2515</v>
      </c>
      <c r="F239" s="472" t="str">
        <f t="shared" si="6"/>
        <v>MOELLER BRO ENDOW</v>
      </c>
      <c r="G239" s="473">
        <v>197165.33</v>
      </c>
      <c r="H239" s="474">
        <v>0</v>
      </c>
      <c r="I239" s="474">
        <v>-3792.78</v>
      </c>
      <c r="J239" s="474">
        <v>19204.48</v>
      </c>
      <c r="K239" s="474">
        <v>0</v>
      </c>
      <c r="L239" s="474">
        <v>0</v>
      </c>
      <c r="M239" s="474">
        <f t="shared" si="7"/>
        <v>212577.03</v>
      </c>
    </row>
    <row r="240" spans="1:13" ht="12.75" outlineLevel="1">
      <c r="A240" s="424" t="s">
        <v>2516</v>
      </c>
      <c r="C240" s="471"/>
      <c r="D240" s="471"/>
      <c r="E240" s="460" t="s">
        <v>2517</v>
      </c>
      <c r="F240" s="472" t="str">
        <f t="shared" si="6"/>
        <v>OMURTAG ENGR END FND</v>
      </c>
      <c r="G240" s="473">
        <v>248884.85</v>
      </c>
      <c r="H240" s="474">
        <v>0</v>
      </c>
      <c r="I240" s="474">
        <v>-4787.68</v>
      </c>
      <c r="J240" s="474">
        <v>24242.12</v>
      </c>
      <c r="K240" s="474">
        <v>0</v>
      </c>
      <c r="L240" s="474">
        <v>0</v>
      </c>
      <c r="M240" s="474">
        <f t="shared" si="7"/>
        <v>268339.29000000004</v>
      </c>
    </row>
    <row r="241" spans="1:13" ht="12.75" outlineLevel="1">
      <c r="A241" s="424" t="s">
        <v>2518</v>
      </c>
      <c r="C241" s="471"/>
      <c r="D241" s="471"/>
      <c r="E241" s="460" t="s">
        <v>2519</v>
      </c>
      <c r="F241" s="472" t="str">
        <f t="shared" si="6"/>
        <v>REMMERS SPEC LEC ART</v>
      </c>
      <c r="G241" s="473">
        <v>1202296.82</v>
      </c>
      <c r="H241" s="474">
        <v>500</v>
      </c>
      <c r="I241" s="474">
        <v>-24347.27</v>
      </c>
      <c r="J241" s="474">
        <v>116693.65</v>
      </c>
      <c r="K241" s="474">
        <v>0</v>
      </c>
      <c r="L241" s="474">
        <v>0</v>
      </c>
      <c r="M241" s="474">
        <f t="shared" si="7"/>
        <v>1295143.2</v>
      </c>
    </row>
    <row r="242" spans="1:13" ht="12.75" outlineLevel="1">
      <c r="A242" s="424" t="s">
        <v>2520</v>
      </c>
      <c r="C242" s="471"/>
      <c r="D242" s="471"/>
      <c r="E242" s="460" t="s">
        <v>2521</v>
      </c>
      <c r="F242" s="472" t="str">
        <f t="shared" si="6"/>
        <v>JACKLING MIN IND FD</v>
      </c>
      <c r="G242" s="473">
        <v>913100.11</v>
      </c>
      <c r="H242" s="474">
        <v>0</v>
      </c>
      <c r="I242" s="474">
        <v>23365.22</v>
      </c>
      <c r="J242" s="474">
        <v>49086.46</v>
      </c>
      <c r="K242" s="474">
        <v>0</v>
      </c>
      <c r="L242" s="474">
        <v>-30000</v>
      </c>
      <c r="M242" s="474">
        <f t="shared" si="7"/>
        <v>955551.7899999999</v>
      </c>
    </row>
    <row r="243" spans="1:13" ht="12.75" outlineLevel="1">
      <c r="A243" s="424" t="s">
        <v>2522</v>
      </c>
      <c r="C243" s="471"/>
      <c r="D243" s="471"/>
      <c r="E243" s="460" t="s">
        <v>2523</v>
      </c>
      <c r="F243" s="472" t="str">
        <f t="shared" si="6"/>
        <v>MATHES PROF CIVIL EN</v>
      </c>
      <c r="G243" s="473">
        <v>1034828.48</v>
      </c>
      <c r="H243" s="474">
        <v>553048.08</v>
      </c>
      <c r="I243" s="474">
        <v>-18801.98</v>
      </c>
      <c r="J243" s="474">
        <v>96899.6</v>
      </c>
      <c r="K243" s="474">
        <v>0</v>
      </c>
      <c r="L243" s="474">
        <v>0</v>
      </c>
      <c r="M243" s="474">
        <f t="shared" si="7"/>
        <v>1665974.1800000002</v>
      </c>
    </row>
    <row r="244" spans="1:13" ht="12.75" outlineLevel="1">
      <c r="A244" s="424" t="s">
        <v>2524</v>
      </c>
      <c r="C244" s="471"/>
      <c r="D244" s="471"/>
      <c r="E244" s="460" t="s">
        <v>2525</v>
      </c>
      <c r="F244" s="472" t="str">
        <f t="shared" si="6"/>
        <v>MATTHEWS CANCER RES</v>
      </c>
      <c r="G244" s="473">
        <v>21350.36</v>
      </c>
      <c r="H244" s="474">
        <v>0</v>
      </c>
      <c r="I244" s="474">
        <v>-411.56</v>
      </c>
      <c r="J244" s="474">
        <v>2082.64</v>
      </c>
      <c r="K244" s="474">
        <v>432.98</v>
      </c>
      <c r="L244" s="474">
        <v>0</v>
      </c>
      <c r="M244" s="474">
        <f t="shared" si="7"/>
        <v>22588.46</v>
      </c>
    </row>
    <row r="245" spans="1:13" ht="12.75" outlineLevel="1">
      <c r="A245" s="424" t="s">
        <v>2526</v>
      </c>
      <c r="C245" s="471"/>
      <c r="D245" s="471"/>
      <c r="E245" s="460" t="s">
        <v>2527</v>
      </c>
      <c r="F245" s="472" t="str">
        <f t="shared" si="6"/>
        <v>RUTLEDGE PROF</v>
      </c>
      <c r="G245" s="473">
        <v>563749.68</v>
      </c>
      <c r="H245" s="474">
        <v>0</v>
      </c>
      <c r="I245" s="474">
        <v>-10844.58</v>
      </c>
      <c r="J245" s="474">
        <v>54910.86</v>
      </c>
      <c r="K245" s="474">
        <v>0</v>
      </c>
      <c r="L245" s="474">
        <v>0</v>
      </c>
      <c r="M245" s="474">
        <f t="shared" si="7"/>
        <v>607815.9600000001</v>
      </c>
    </row>
    <row r="246" spans="1:13" ht="12.75" outlineLevel="1">
      <c r="A246" s="424" t="s">
        <v>2528</v>
      </c>
      <c r="C246" s="471"/>
      <c r="D246" s="471"/>
      <c r="E246" s="460" t="s">
        <v>2529</v>
      </c>
      <c r="F246" s="472" t="str">
        <f t="shared" si="6"/>
        <v>MO SOYBEAN RES PROF</v>
      </c>
      <c r="G246" s="473">
        <v>581572.81</v>
      </c>
      <c r="H246" s="474">
        <v>0</v>
      </c>
      <c r="I246" s="474">
        <v>-11187.44</v>
      </c>
      <c r="J246" s="474">
        <v>56646.9</v>
      </c>
      <c r="K246" s="474">
        <v>0</v>
      </c>
      <c r="L246" s="474">
        <v>0</v>
      </c>
      <c r="M246" s="474">
        <f t="shared" si="7"/>
        <v>627032.2700000001</v>
      </c>
    </row>
    <row r="247" spans="1:13" ht="12.75" outlineLevel="1">
      <c r="A247" s="424" t="s">
        <v>2530</v>
      </c>
      <c r="C247" s="471"/>
      <c r="D247" s="471"/>
      <c r="E247" s="460" t="s">
        <v>2531</v>
      </c>
      <c r="F247" s="472" t="str">
        <f t="shared" si="6"/>
        <v>SCHLUMBERGER PROF</v>
      </c>
      <c r="G247" s="473">
        <v>1275132.26</v>
      </c>
      <c r="H247" s="474">
        <v>0</v>
      </c>
      <c r="I247" s="474">
        <v>-24529.11</v>
      </c>
      <c r="J247" s="474">
        <v>124201.58</v>
      </c>
      <c r="K247" s="474">
        <v>0</v>
      </c>
      <c r="L247" s="474">
        <v>0</v>
      </c>
      <c r="M247" s="474">
        <f t="shared" si="7"/>
        <v>1374804.73</v>
      </c>
    </row>
    <row r="248" spans="1:13" ht="12.75" outlineLevel="1">
      <c r="A248" s="424" t="s">
        <v>2532</v>
      </c>
      <c r="C248" s="471"/>
      <c r="D248" s="471"/>
      <c r="E248" s="460" t="s">
        <v>2533</v>
      </c>
      <c r="F248" s="445" t="str">
        <f t="shared" si="6"/>
        <v>SCOTT-MORRIS AWARD</v>
      </c>
      <c r="G248" s="521">
        <v>25972.67</v>
      </c>
      <c r="H248" s="474">
        <v>0</v>
      </c>
      <c r="I248" s="474">
        <v>24.4</v>
      </c>
      <c r="J248" s="474">
        <v>-239.3</v>
      </c>
      <c r="K248" s="474">
        <v>0</v>
      </c>
      <c r="L248" s="474">
        <v>0</v>
      </c>
      <c r="M248" s="474">
        <f t="shared" si="7"/>
        <v>25757.77</v>
      </c>
    </row>
    <row r="249" spans="1:13" ht="12.75" outlineLevel="1">
      <c r="A249" s="424" t="s">
        <v>2534</v>
      </c>
      <c r="C249" s="471"/>
      <c r="D249" s="471"/>
      <c r="E249" s="460" t="s">
        <v>2535</v>
      </c>
      <c r="F249" s="445" t="str">
        <f t="shared" si="6"/>
        <v>SENNE FACULTY ACHIEV</v>
      </c>
      <c r="G249" s="521">
        <v>107116.37</v>
      </c>
      <c r="H249" s="474">
        <v>0</v>
      </c>
      <c r="I249" s="474">
        <v>-2060.55</v>
      </c>
      <c r="J249" s="474">
        <v>10433.43</v>
      </c>
      <c r="K249" s="474">
        <v>0</v>
      </c>
      <c r="L249" s="474">
        <v>0</v>
      </c>
      <c r="M249" s="474">
        <f t="shared" si="7"/>
        <v>115489.25</v>
      </c>
    </row>
    <row r="250" spans="1:13" ht="12.75" outlineLevel="1">
      <c r="A250" s="424" t="s">
        <v>2536</v>
      </c>
      <c r="C250" s="471"/>
      <c r="D250" s="471"/>
      <c r="E250" s="460" t="s">
        <v>2537</v>
      </c>
      <c r="F250" s="472" t="str">
        <f t="shared" si="6"/>
        <v>SHALLER END FUND</v>
      </c>
      <c r="G250" s="473">
        <v>34973.83</v>
      </c>
      <c r="H250" s="474">
        <v>0</v>
      </c>
      <c r="I250" s="474">
        <v>-672.77</v>
      </c>
      <c r="J250" s="474">
        <v>3406.55</v>
      </c>
      <c r="K250" s="474">
        <v>0</v>
      </c>
      <c r="L250" s="474">
        <v>0</v>
      </c>
      <c r="M250" s="474">
        <f t="shared" si="7"/>
        <v>37707.61000000001</v>
      </c>
    </row>
    <row r="251" spans="1:13" ht="12.75" outlineLevel="1">
      <c r="A251" s="424" t="s">
        <v>2538</v>
      </c>
      <c r="C251" s="471"/>
      <c r="D251" s="471"/>
      <c r="E251" s="460" t="s">
        <v>2539</v>
      </c>
      <c r="F251" s="472" t="str">
        <f t="shared" si="6"/>
        <v>SPHAR ENDOW MINING</v>
      </c>
      <c r="G251" s="473">
        <v>17644</v>
      </c>
      <c r="H251" s="474">
        <v>0</v>
      </c>
      <c r="I251" s="474">
        <v>-339.41</v>
      </c>
      <c r="J251" s="474">
        <v>1718.56</v>
      </c>
      <c r="K251" s="474">
        <v>0</v>
      </c>
      <c r="L251" s="474">
        <v>0</v>
      </c>
      <c r="M251" s="474">
        <f t="shared" si="7"/>
        <v>19023.15</v>
      </c>
    </row>
    <row r="252" spans="1:13" ht="12.75" outlineLevel="1">
      <c r="A252" s="424" t="s">
        <v>2540</v>
      </c>
      <c r="C252" s="471"/>
      <c r="D252" s="471"/>
      <c r="E252" s="460" t="s">
        <v>2541</v>
      </c>
      <c r="F252" s="472" t="str">
        <f t="shared" si="6"/>
        <v>QUENON MO PROFESSOR</v>
      </c>
      <c r="G252" s="473">
        <v>1692749.86</v>
      </c>
      <c r="H252" s="474">
        <v>0</v>
      </c>
      <c r="I252" s="474">
        <v>-32562.62</v>
      </c>
      <c r="J252" s="474">
        <v>164878.77</v>
      </c>
      <c r="K252" s="474">
        <v>0</v>
      </c>
      <c r="L252" s="474">
        <v>0</v>
      </c>
      <c r="M252" s="474">
        <f t="shared" si="7"/>
        <v>1825066.01</v>
      </c>
    </row>
    <row r="253" spans="1:13" ht="12.75" outlineLevel="1">
      <c r="A253" s="424" t="s">
        <v>335</v>
      </c>
      <c r="C253" s="471"/>
      <c r="D253" s="471"/>
      <c r="E253" s="460" t="s">
        <v>336</v>
      </c>
      <c r="F253" s="472" t="str">
        <f t="shared" si="6"/>
        <v>TANG MO PROF COMP EN</v>
      </c>
      <c r="G253" s="473">
        <v>382615.09</v>
      </c>
      <c r="H253" s="474">
        <v>0</v>
      </c>
      <c r="I253" s="474">
        <v>-7360.21</v>
      </c>
      <c r="J253" s="474">
        <v>37267.8</v>
      </c>
      <c r="K253" s="474">
        <v>0</v>
      </c>
      <c r="L253" s="474">
        <v>0</v>
      </c>
      <c r="M253" s="474">
        <f t="shared" si="7"/>
        <v>412522.68</v>
      </c>
    </row>
    <row r="254" spans="1:13" ht="12.75" outlineLevel="1">
      <c r="A254" s="424" t="s">
        <v>337</v>
      </c>
      <c r="C254" s="471"/>
      <c r="D254" s="471"/>
      <c r="E254" s="460" t="s">
        <v>338</v>
      </c>
      <c r="F254" s="472" t="str">
        <f t="shared" si="6"/>
        <v>TAPPMEYER ENDOW</v>
      </c>
      <c r="G254" s="473">
        <v>25889.01</v>
      </c>
      <c r="H254" s="474">
        <v>200</v>
      </c>
      <c r="I254" s="474">
        <v>0</v>
      </c>
      <c r="J254" s="474">
        <v>-1087.09</v>
      </c>
      <c r="K254" s="474">
        <v>0</v>
      </c>
      <c r="L254" s="474">
        <v>0</v>
      </c>
      <c r="M254" s="474">
        <f t="shared" si="7"/>
        <v>25001.92</v>
      </c>
    </row>
    <row r="255" spans="1:13" ht="12.75" outlineLevel="1">
      <c r="A255" s="424" t="s">
        <v>339</v>
      </c>
      <c r="C255" s="471"/>
      <c r="D255" s="471"/>
      <c r="E255" s="460" t="s">
        <v>340</v>
      </c>
      <c r="F255" s="472" t="str">
        <f t="shared" si="6"/>
        <v>UMR BAND FUND</v>
      </c>
      <c r="G255" s="473">
        <v>120069.34</v>
      </c>
      <c r="H255" s="474">
        <v>0</v>
      </c>
      <c r="I255" s="474">
        <v>-2309.73</v>
      </c>
      <c r="J255" s="474">
        <v>11695.12</v>
      </c>
      <c r="K255" s="474">
        <v>0</v>
      </c>
      <c r="L255" s="474">
        <v>0</v>
      </c>
      <c r="M255" s="474">
        <f t="shared" si="7"/>
        <v>129454.73</v>
      </c>
    </row>
    <row r="256" spans="1:13" ht="12.75" outlineLevel="1">
      <c r="A256" s="424" t="s">
        <v>341</v>
      </c>
      <c r="C256" s="471"/>
      <c r="D256" s="471"/>
      <c r="E256" s="460" t="s">
        <v>342</v>
      </c>
      <c r="F256" s="472" t="str">
        <f t="shared" si="6"/>
        <v>WEINER MO PROF</v>
      </c>
      <c r="G256" s="473">
        <v>669878.7</v>
      </c>
      <c r="H256" s="474">
        <v>0</v>
      </c>
      <c r="I256" s="474">
        <v>-12370.8</v>
      </c>
      <c r="J256" s="474">
        <v>65299.31</v>
      </c>
      <c r="K256" s="474">
        <v>0</v>
      </c>
      <c r="L256" s="474">
        <v>0</v>
      </c>
      <c r="M256" s="474">
        <f t="shared" si="7"/>
        <v>722807.21</v>
      </c>
    </row>
    <row r="257" spans="1:13" ht="12.75" outlineLevel="1">
      <c r="A257" s="424" t="s">
        <v>343</v>
      </c>
      <c r="C257" s="471"/>
      <c r="D257" s="471"/>
      <c r="E257" s="460" t="s">
        <v>344</v>
      </c>
      <c r="F257" s="472" t="str">
        <f t="shared" si="6"/>
        <v>WILKENS MO PROFESSHP</v>
      </c>
      <c r="G257" s="473">
        <v>579355.73</v>
      </c>
      <c r="H257" s="474">
        <v>0</v>
      </c>
      <c r="I257" s="474">
        <v>-11144.8</v>
      </c>
      <c r="J257" s="474">
        <v>56430.92</v>
      </c>
      <c r="K257" s="474">
        <v>0</v>
      </c>
      <c r="L257" s="474">
        <v>0</v>
      </c>
      <c r="M257" s="474">
        <f t="shared" si="7"/>
        <v>624641.85</v>
      </c>
    </row>
    <row r="258" spans="1:13" ht="12.75" outlineLevel="1">
      <c r="A258" s="424" t="s">
        <v>345</v>
      </c>
      <c r="C258" s="471"/>
      <c r="D258" s="471"/>
      <c r="E258" s="460" t="s">
        <v>346</v>
      </c>
      <c r="F258" s="472" t="str">
        <f t="shared" si="6"/>
        <v>UN PAC/ROCKY MTN PRF</v>
      </c>
      <c r="G258" s="473">
        <v>297511.95</v>
      </c>
      <c r="H258" s="474">
        <v>0</v>
      </c>
      <c r="I258" s="474">
        <v>-5723.09</v>
      </c>
      <c r="J258" s="474">
        <v>28978.55</v>
      </c>
      <c r="K258" s="474">
        <v>0</v>
      </c>
      <c r="L258" s="474">
        <v>0</v>
      </c>
      <c r="M258" s="474">
        <f t="shared" si="7"/>
        <v>320767.41</v>
      </c>
    </row>
    <row r="259" spans="1:13" ht="12.75" outlineLevel="1">
      <c r="A259" s="424" t="s">
        <v>347</v>
      </c>
      <c r="C259" s="471"/>
      <c r="D259" s="471"/>
      <c r="E259" s="460" t="s">
        <v>348</v>
      </c>
      <c r="F259" s="472" t="str">
        <f t="shared" si="6"/>
        <v>WEINER DEV PSYCH</v>
      </c>
      <c r="G259" s="473">
        <v>48000.53</v>
      </c>
      <c r="H259" s="474">
        <v>0</v>
      </c>
      <c r="I259" s="474">
        <v>-923.37</v>
      </c>
      <c r="J259" s="474">
        <v>4675.4</v>
      </c>
      <c r="K259" s="474">
        <v>0</v>
      </c>
      <c r="L259" s="474">
        <v>0</v>
      </c>
      <c r="M259" s="474">
        <f t="shared" si="7"/>
        <v>51752.56</v>
      </c>
    </row>
    <row r="260" spans="1:13" ht="12.75" outlineLevel="1">
      <c r="A260" s="424" t="s">
        <v>349</v>
      </c>
      <c r="C260" s="471"/>
      <c r="D260" s="471"/>
      <c r="E260" s="460" t="s">
        <v>350</v>
      </c>
      <c r="F260" s="472" t="str">
        <f t="shared" si="6"/>
        <v>WEINER END MGMT SYTM</v>
      </c>
      <c r="G260" s="473">
        <v>47941.1</v>
      </c>
      <c r="H260" s="474">
        <v>0</v>
      </c>
      <c r="I260" s="474">
        <v>-922.21</v>
      </c>
      <c r="J260" s="474">
        <v>4669.61</v>
      </c>
      <c r="K260" s="474">
        <v>0</v>
      </c>
      <c r="L260" s="474">
        <v>0</v>
      </c>
      <c r="M260" s="474">
        <f t="shared" si="7"/>
        <v>51688.5</v>
      </c>
    </row>
    <row r="261" spans="1:13" ht="12.75" outlineLevel="1">
      <c r="A261" s="424" t="s">
        <v>351</v>
      </c>
      <c r="C261" s="471"/>
      <c r="D261" s="471"/>
      <c r="E261" s="460" t="s">
        <v>352</v>
      </c>
      <c r="F261" s="472" t="str">
        <f t="shared" si="6"/>
        <v>WEINER END ENGLISH</v>
      </c>
      <c r="G261" s="473">
        <v>48006.21</v>
      </c>
      <c r="H261" s="474">
        <v>0</v>
      </c>
      <c r="I261" s="474">
        <v>-923.47</v>
      </c>
      <c r="J261" s="474">
        <v>4675.94</v>
      </c>
      <c r="K261" s="474">
        <v>0</v>
      </c>
      <c r="L261" s="474">
        <v>0</v>
      </c>
      <c r="M261" s="474">
        <f t="shared" si="7"/>
        <v>51758.68</v>
      </c>
    </row>
    <row r="262" spans="1:13" ht="12.75" outlineLevel="1">
      <c r="A262" s="424" t="s">
        <v>353</v>
      </c>
      <c r="C262" s="471"/>
      <c r="D262" s="471"/>
      <c r="E262" s="460" t="s">
        <v>354</v>
      </c>
      <c r="F262" s="472" t="str">
        <f t="shared" si="6"/>
        <v>WEINER END ECONOMICS</v>
      </c>
      <c r="G262" s="473">
        <v>48006.21</v>
      </c>
      <c r="H262" s="474">
        <v>0</v>
      </c>
      <c r="I262" s="474">
        <v>-923.47</v>
      </c>
      <c r="J262" s="474">
        <v>4675.94</v>
      </c>
      <c r="K262" s="474">
        <v>0</v>
      </c>
      <c r="L262" s="474">
        <v>0</v>
      </c>
      <c r="M262" s="474">
        <f t="shared" si="7"/>
        <v>51758.68</v>
      </c>
    </row>
    <row r="263" spans="1:13" ht="12.75" outlineLevel="1">
      <c r="A263" s="424" t="s">
        <v>355</v>
      </c>
      <c r="C263" s="471"/>
      <c r="D263" s="471"/>
      <c r="E263" s="460" t="s">
        <v>356</v>
      </c>
      <c r="F263" s="472" t="str">
        <f t="shared" si="6"/>
        <v>WEINER END HISTORY</v>
      </c>
      <c r="G263" s="473">
        <v>48006.21</v>
      </c>
      <c r="H263" s="474">
        <v>0</v>
      </c>
      <c r="I263" s="474">
        <v>-923.47</v>
      </c>
      <c r="J263" s="474">
        <v>4675.94</v>
      </c>
      <c r="K263" s="474">
        <v>0</v>
      </c>
      <c r="L263" s="474">
        <v>0</v>
      </c>
      <c r="M263" s="474">
        <f t="shared" si="7"/>
        <v>51758.68</v>
      </c>
    </row>
    <row r="264" spans="1:13" ht="12.75" outlineLevel="1">
      <c r="A264" s="424" t="s">
        <v>357</v>
      </c>
      <c r="C264" s="471"/>
      <c r="D264" s="471"/>
      <c r="E264" s="460" t="s">
        <v>358</v>
      </c>
      <c r="F264" s="472" t="str">
        <f t="shared" si="6"/>
        <v>WEINER END P L A</v>
      </c>
      <c r="G264" s="473">
        <v>48006.21</v>
      </c>
      <c r="H264" s="474">
        <v>0</v>
      </c>
      <c r="I264" s="474">
        <v>-923.47</v>
      </c>
      <c r="J264" s="474">
        <v>4675.94</v>
      </c>
      <c r="K264" s="474">
        <v>0</v>
      </c>
      <c r="L264" s="474">
        <v>0</v>
      </c>
      <c r="M264" s="474">
        <f t="shared" si="7"/>
        <v>51758.68</v>
      </c>
    </row>
    <row r="265" spans="1:13" ht="12.75" outlineLevel="1">
      <c r="A265" s="424" t="s">
        <v>359</v>
      </c>
      <c r="C265" s="471"/>
      <c r="D265" s="471"/>
      <c r="E265" s="460" t="s">
        <v>360</v>
      </c>
      <c r="F265" s="472" t="str">
        <f t="shared" si="6"/>
        <v>WEINER END ARTS/SCI</v>
      </c>
      <c r="G265" s="473">
        <v>146501.22</v>
      </c>
      <c r="H265" s="474">
        <v>0</v>
      </c>
      <c r="I265" s="474">
        <v>-2818.18</v>
      </c>
      <c r="J265" s="474">
        <v>14269.64</v>
      </c>
      <c r="K265" s="474">
        <v>0</v>
      </c>
      <c r="L265" s="474">
        <v>0</v>
      </c>
      <c r="M265" s="474">
        <f t="shared" si="7"/>
        <v>157952.68</v>
      </c>
    </row>
    <row r="266" spans="1:13" ht="12.75" outlineLevel="1">
      <c r="A266" s="424" t="s">
        <v>361</v>
      </c>
      <c r="C266" s="471"/>
      <c r="D266" s="471"/>
      <c r="E266" s="460" t="s">
        <v>362</v>
      </c>
      <c r="F266" s="472" t="str">
        <f t="shared" si="6"/>
        <v>WEINER ENDOW PERFORM</v>
      </c>
      <c r="G266" s="473">
        <v>512262.81</v>
      </c>
      <c r="H266" s="474">
        <v>0</v>
      </c>
      <c r="I266" s="474">
        <v>-9854.46</v>
      </c>
      <c r="J266" s="474">
        <v>49896.25</v>
      </c>
      <c r="K266" s="474">
        <v>50</v>
      </c>
      <c r="L266" s="474">
        <v>0</v>
      </c>
      <c r="M266" s="474">
        <f t="shared" si="7"/>
        <v>552254.6</v>
      </c>
    </row>
    <row r="267" spans="1:13" ht="12.75" outlineLevel="1">
      <c r="A267" s="424" t="s">
        <v>363</v>
      </c>
      <c r="C267" s="471"/>
      <c r="D267" s="471"/>
      <c r="E267" s="460" t="s">
        <v>364</v>
      </c>
      <c r="F267" s="472" t="str">
        <f aca="true" t="shared" si="8" ref="F267:F330">UPPER(E267)</f>
        <v>WEINER FD LEACH THEA</v>
      </c>
      <c r="G267" s="473">
        <v>141803.52</v>
      </c>
      <c r="H267" s="474">
        <v>0</v>
      </c>
      <c r="I267" s="474">
        <v>-2727.81</v>
      </c>
      <c r="J267" s="474">
        <v>13812.09</v>
      </c>
      <c r="K267" s="474">
        <v>0</v>
      </c>
      <c r="L267" s="474">
        <v>0</v>
      </c>
      <c r="M267" s="474">
        <f aca="true" t="shared" si="9" ref="M267:M330">G267+H267+I267+J267-K267+L267</f>
        <v>152887.8</v>
      </c>
    </row>
    <row r="268" spans="1:13" ht="12.75" outlineLevel="1">
      <c r="A268" s="424" t="s">
        <v>365</v>
      </c>
      <c r="C268" s="471"/>
      <c r="D268" s="471"/>
      <c r="E268" s="460" t="s">
        <v>366</v>
      </c>
      <c r="F268" s="472" t="str">
        <f t="shared" si="8"/>
        <v>WEINER KUMR END FUND</v>
      </c>
      <c r="G268" s="473">
        <v>132417.15</v>
      </c>
      <c r="H268" s="474">
        <v>0</v>
      </c>
      <c r="I268" s="474">
        <v>-2547.24</v>
      </c>
      <c r="J268" s="474">
        <v>12897.82</v>
      </c>
      <c r="K268" s="474">
        <v>0</v>
      </c>
      <c r="L268" s="474">
        <v>0</v>
      </c>
      <c r="M268" s="474">
        <f t="shared" si="9"/>
        <v>142767.72999999998</v>
      </c>
    </row>
    <row r="269" spans="1:13" ht="12.75" outlineLevel="1">
      <c r="A269" s="424" t="s">
        <v>367</v>
      </c>
      <c r="C269" s="471"/>
      <c r="D269" s="471"/>
      <c r="E269" s="460" t="s">
        <v>368</v>
      </c>
      <c r="F269" s="472" t="str">
        <f t="shared" si="8"/>
        <v>WEINER FUND WRITING</v>
      </c>
      <c r="G269" s="473">
        <v>47913.56</v>
      </c>
      <c r="H269" s="474">
        <v>0</v>
      </c>
      <c r="I269" s="474">
        <v>-921.7</v>
      </c>
      <c r="J269" s="474">
        <v>4666.91</v>
      </c>
      <c r="K269" s="474">
        <v>0</v>
      </c>
      <c r="L269" s="474">
        <v>0</v>
      </c>
      <c r="M269" s="474">
        <f t="shared" si="9"/>
        <v>51658.770000000004</v>
      </c>
    </row>
    <row r="270" spans="1:13" ht="12.75" outlineLevel="1">
      <c r="A270" s="424" t="s">
        <v>369</v>
      </c>
      <c r="C270" s="471"/>
      <c r="D270" s="471"/>
      <c r="E270" s="460" t="s">
        <v>370</v>
      </c>
      <c r="F270" s="472" t="str">
        <f t="shared" si="8"/>
        <v>ACCENTURE SCHOLARSHIP FUND</v>
      </c>
      <c r="G270" s="473">
        <v>34981.71</v>
      </c>
      <c r="H270" s="474">
        <v>0</v>
      </c>
      <c r="I270" s="474">
        <v>-722.59</v>
      </c>
      <c r="J270" s="474">
        <v>3473.63</v>
      </c>
      <c r="K270" s="474">
        <v>0</v>
      </c>
      <c r="L270" s="474">
        <v>0</v>
      </c>
      <c r="M270" s="474">
        <f t="shared" si="9"/>
        <v>37732.75</v>
      </c>
    </row>
    <row r="271" spans="1:13" ht="12.75" outlineLevel="1">
      <c r="A271" s="424" t="s">
        <v>371</v>
      </c>
      <c r="C271" s="471"/>
      <c r="D271" s="471"/>
      <c r="E271" s="460" t="s">
        <v>372</v>
      </c>
      <c r="F271" s="472" t="str">
        <f t="shared" si="8"/>
        <v>BAILEY ENDOWED SCHP</v>
      </c>
      <c r="G271" s="473">
        <v>31090.66</v>
      </c>
      <c r="H271" s="474">
        <v>2500</v>
      </c>
      <c r="I271" s="474">
        <v>-573.15</v>
      </c>
      <c r="J271" s="474">
        <v>2982.65</v>
      </c>
      <c r="K271" s="474">
        <v>0</v>
      </c>
      <c r="L271" s="474">
        <v>0</v>
      </c>
      <c r="M271" s="474">
        <f t="shared" si="9"/>
        <v>36000.16</v>
      </c>
    </row>
    <row r="272" spans="1:13" ht="12.75" outlineLevel="1">
      <c r="A272" s="424" t="s">
        <v>373</v>
      </c>
      <c r="C272" s="471"/>
      <c r="D272" s="471"/>
      <c r="E272" s="460" t="s">
        <v>374</v>
      </c>
      <c r="F272" s="472" t="str">
        <f t="shared" si="8"/>
        <v>BARNETT ENDOW CHEM</v>
      </c>
      <c r="G272" s="473">
        <v>58509.85</v>
      </c>
      <c r="H272" s="474">
        <v>-5010</v>
      </c>
      <c r="I272" s="474">
        <v>-1021.01</v>
      </c>
      <c r="J272" s="474">
        <v>5745.17</v>
      </c>
      <c r="K272" s="474">
        <v>0</v>
      </c>
      <c r="L272" s="474">
        <v>0</v>
      </c>
      <c r="M272" s="474">
        <f t="shared" si="9"/>
        <v>58224.009999999995</v>
      </c>
    </row>
    <row r="273" spans="1:13" ht="12.75" outlineLevel="1">
      <c r="A273" s="424" t="s">
        <v>375</v>
      </c>
      <c r="C273" s="471"/>
      <c r="D273" s="471"/>
      <c r="E273" s="460" t="s">
        <v>376</v>
      </c>
      <c r="F273" s="472" t="str">
        <f t="shared" si="8"/>
        <v>DAVIES FAMILY SCHP</v>
      </c>
      <c r="G273" s="473">
        <v>14113.49</v>
      </c>
      <c r="H273" s="474">
        <v>300</v>
      </c>
      <c r="I273" s="474">
        <v>-259.36</v>
      </c>
      <c r="J273" s="474">
        <v>1369.98</v>
      </c>
      <c r="K273" s="474">
        <v>0</v>
      </c>
      <c r="L273" s="474">
        <v>0</v>
      </c>
      <c r="M273" s="474">
        <f t="shared" si="9"/>
        <v>15524.109999999999</v>
      </c>
    </row>
    <row r="274" spans="1:13" ht="12.75" outlineLevel="1">
      <c r="A274" s="424" t="s">
        <v>377</v>
      </c>
      <c r="C274" s="471"/>
      <c r="D274" s="471"/>
      <c r="E274" s="460" t="s">
        <v>378</v>
      </c>
      <c r="F274" s="472" t="str">
        <f t="shared" si="8"/>
        <v>EVENSON MEMORIAL FD</v>
      </c>
      <c r="G274" s="473">
        <v>1963.17</v>
      </c>
      <c r="H274" s="474">
        <v>25</v>
      </c>
      <c r="I274" s="474">
        <v>50.13</v>
      </c>
      <c r="J274" s="474">
        <v>196.65</v>
      </c>
      <c r="K274" s="474">
        <v>0</v>
      </c>
      <c r="L274" s="474">
        <v>0</v>
      </c>
      <c r="M274" s="474">
        <f t="shared" si="9"/>
        <v>2234.9500000000003</v>
      </c>
    </row>
    <row r="275" spans="1:13" ht="12.75" outlineLevel="1">
      <c r="A275" s="424" t="s">
        <v>379</v>
      </c>
      <c r="C275" s="471"/>
      <c r="D275" s="471"/>
      <c r="E275" s="460" t="s">
        <v>380</v>
      </c>
      <c r="F275" s="472" t="str">
        <f t="shared" si="8"/>
        <v>FOURNELLE SCHP MET</v>
      </c>
      <c r="G275" s="473">
        <v>16292.64</v>
      </c>
      <c r="H275" s="474">
        <v>0</v>
      </c>
      <c r="I275" s="474">
        <v>-204.37</v>
      </c>
      <c r="J275" s="474">
        <v>1524.69</v>
      </c>
      <c r="K275" s="474">
        <v>0</v>
      </c>
      <c r="L275" s="474">
        <v>0</v>
      </c>
      <c r="M275" s="474">
        <f t="shared" si="9"/>
        <v>17612.96</v>
      </c>
    </row>
    <row r="276" spans="1:13" ht="12.75" outlineLevel="1">
      <c r="A276" s="424" t="s">
        <v>381</v>
      </c>
      <c r="C276" s="471"/>
      <c r="D276" s="471"/>
      <c r="E276" s="460" t="s">
        <v>382</v>
      </c>
      <c r="F276" s="472" t="str">
        <f t="shared" si="8"/>
        <v>LASKO ATHLETIC FUND</v>
      </c>
      <c r="G276" s="473">
        <v>15240.97</v>
      </c>
      <c r="H276" s="474">
        <v>25</v>
      </c>
      <c r="I276" s="474">
        <v>-291.78</v>
      </c>
      <c r="J276" s="474">
        <v>1484.02</v>
      </c>
      <c r="K276" s="474">
        <v>0</v>
      </c>
      <c r="L276" s="474">
        <v>0</v>
      </c>
      <c r="M276" s="474">
        <f t="shared" si="9"/>
        <v>16458.21</v>
      </c>
    </row>
    <row r="277" spans="1:13" ht="12.75" outlineLevel="1">
      <c r="A277" s="424" t="s">
        <v>383</v>
      </c>
      <c r="C277" s="471"/>
      <c r="D277" s="471"/>
      <c r="E277" s="460" t="s">
        <v>384</v>
      </c>
      <c r="F277" s="472" t="str">
        <f t="shared" si="8"/>
        <v>LEGSDIN ENGLISH SCHP</v>
      </c>
      <c r="G277" s="473">
        <v>12822.64</v>
      </c>
      <c r="H277" s="474">
        <v>100</v>
      </c>
      <c r="I277" s="474">
        <v>-238.16</v>
      </c>
      <c r="J277" s="474">
        <v>1248.52</v>
      </c>
      <c r="K277" s="474">
        <v>0</v>
      </c>
      <c r="L277" s="474">
        <v>0</v>
      </c>
      <c r="M277" s="474">
        <f t="shared" si="9"/>
        <v>13933</v>
      </c>
    </row>
    <row r="278" spans="1:13" ht="12.75" outlineLevel="1">
      <c r="A278" s="424" t="s">
        <v>385</v>
      </c>
      <c r="C278" s="471"/>
      <c r="D278" s="471"/>
      <c r="E278" s="460" t="s">
        <v>386</v>
      </c>
      <c r="F278" s="472" t="str">
        <f t="shared" si="8"/>
        <v>LEGSDIN ECONOMICS SP</v>
      </c>
      <c r="G278" s="473">
        <v>12659.16</v>
      </c>
      <c r="H278" s="474">
        <v>0</v>
      </c>
      <c r="I278" s="474">
        <v>-248.58</v>
      </c>
      <c r="J278" s="474">
        <v>1232.53</v>
      </c>
      <c r="K278" s="474">
        <v>0</v>
      </c>
      <c r="L278" s="474">
        <v>0</v>
      </c>
      <c r="M278" s="474">
        <f t="shared" si="9"/>
        <v>13643.11</v>
      </c>
    </row>
    <row r="279" spans="1:13" ht="12.75" outlineLevel="1">
      <c r="A279" s="424" t="s">
        <v>387</v>
      </c>
      <c r="C279" s="471"/>
      <c r="D279" s="471"/>
      <c r="E279" s="460" t="s">
        <v>388</v>
      </c>
      <c r="F279" s="472" t="str">
        <f t="shared" si="8"/>
        <v>NELSON EE FUND</v>
      </c>
      <c r="G279" s="473">
        <v>15118.03</v>
      </c>
      <c r="H279" s="474">
        <v>375</v>
      </c>
      <c r="I279" s="474">
        <v>-285.47</v>
      </c>
      <c r="J279" s="474">
        <v>1465.69</v>
      </c>
      <c r="K279" s="474">
        <v>0</v>
      </c>
      <c r="L279" s="474">
        <v>0</v>
      </c>
      <c r="M279" s="474">
        <f t="shared" si="9"/>
        <v>16673.25</v>
      </c>
    </row>
    <row r="280" spans="1:13" ht="12.75" outlineLevel="1">
      <c r="A280" s="424" t="s">
        <v>389</v>
      </c>
      <c r="C280" s="471"/>
      <c r="D280" s="471"/>
      <c r="E280" s="460" t="s">
        <v>390</v>
      </c>
      <c r="F280" s="472" t="str">
        <f t="shared" si="8"/>
        <v>PARKER END SCHP</v>
      </c>
      <c r="G280" s="473">
        <v>112402.37</v>
      </c>
      <c r="H280" s="474">
        <v>0</v>
      </c>
      <c r="I280" s="474">
        <v>-2073.99</v>
      </c>
      <c r="J280" s="474">
        <v>10957.09</v>
      </c>
      <c r="K280" s="474">
        <v>0</v>
      </c>
      <c r="L280" s="474">
        <v>0</v>
      </c>
      <c r="M280" s="474">
        <f t="shared" si="9"/>
        <v>121285.46999999999</v>
      </c>
    </row>
    <row r="281" spans="1:13" ht="12.75" outlineLevel="1">
      <c r="A281" s="424" t="s">
        <v>391</v>
      </c>
      <c r="C281" s="471"/>
      <c r="D281" s="471"/>
      <c r="E281" s="460" t="s">
        <v>392</v>
      </c>
      <c r="F281" s="472" t="str">
        <f t="shared" si="8"/>
        <v>PROFESHIP ENGR MGNT</v>
      </c>
      <c r="G281" s="473">
        <v>30678.33</v>
      </c>
      <c r="H281" s="474">
        <v>0</v>
      </c>
      <c r="I281" s="474">
        <v>779.34</v>
      </c>
      <c r="J281" s="474">
        <v>3078.75</v>
      </c>
      <c r="K281" s="474">
        <v>0</v>
      </c>
      <c r="L281" s="474">
        <v>0</v>
      </c>
      <c r="M281" s="474">
        <f t="shared" si="9"/>
        <v>34536.42</v>
      </c>
    </row>
    <row r="282" spans="1:13" ht="12.75" outlineLevel="1">
      <c r="A282" s="424" t="s">
        <v>393</v>
      </c>
      <c r="C282" s="471"/>
      <c r="D282" s="471"/>
      <c r="E282" s="460" t="s">
        <v>394</v>
      </c>
      <c r="F282" s="472" t="str">
        <f t="shared" si="8"/>
        <v>SCOTT MEMORIAL FLSHP</v>
      </c>
      <c r="G282" s="473">
        <v>58730.29</v>
      </c>
      <c r="H282" s="474">
        <v>2000</v>
      </c>
      <c r="I282" s="474">
        <v>-1106.16</v>
      </c>
      <c r="J282" s="474">
        <v>5697.63</v>
      </c>
      <c r="K282" s="474">
        <v>0</v>
      </c>
      <c r="L282" s="474">
        <v>0</v>
      </c>
      <c r="M282" s="474">
        <f t="shared" si="9"/>
        <v>65321.759999999995</v>
      </c>
    </row>
    <row r="283" spans="1:13" ht="12.75" outlineLevel="1">
      <c r="A283" s="424" t="s">
        <v>395</v>
      </c>
      <c r="C283" s="471"/>
      <c r="D283" s="471"/>
      <c r="E283" s="460" t="s">
        <v>396</v>
      </c>
      <c r="F283" s="472" t="str">
        <f t="shared" si="8"/>
        <v>SNOWDEN ENGR SCHP</v>
      </c>
      <c r="G283" s="473">
        <v>91711.82</v>
      </c>
      <c r="H283" s="474">
        <v>0</v>
      </c>
      <c r="I283" s="474">
        <v>-1764.21</v>
      </c>
      <c r="J283" s="474">
        <v>8933</v>
      </c>
      <c r="K283" s="474">
        <v>0</v>
      </c>
      <c r="L283" s="474">
        <v>0</v>
      </c>
      <c r="M283" s="474">
        <f t="shared" si="9"/>
        <v>98880.61</v>
      </c>
    </row>
    <row r="284" spans="1:13" ht="12.75" outlineLevel="1">
      <c r="A284" s="424" t="s">
        <v>397</v>
      </c>
      <c r="C284" s="471"/>
      <c r="D284" s="471"/>
      <c r="E284" s="460" t="s">
        <v>398</v>
      </c>
      <c r="F284" s="472" t="str">
        <f t="shared" si="8"/>
        <v>STUECK CIVIL ENDOW</v>
      </c>
      <c r="G284" s="473">
        <v>11004.89</v>
      </c>
      <c r="H284" s="474">
        <v>0</v>
      </c>
      <c r="I284" s="474">
        <v>-182.2</v>
      </c>
      <c r="J284" s="474">
        <v>1074.84</v>
      </c>
      <c r="K284" s="474">
        <v>0</v>
      </c>
      <c r="L284" s="474">
        <v>0</v>
      </c>
      <c r="M284" s="474">
        <f t="shared" si="9"/>
        <v>11897.529999999999</v>
      </c>
    </row>
    <row r="285" spans="1:13" ht="12.75" outlineLevel="1">
      <c r="A285" s="424" t="s">
        <v>399</v>
      </c>
      <c r="C285" s="471"/>
      <c r="D285" s="471"/>
      <c r="E285" s="460" t="s">
        <v>400</v>
      </c>
      <c r="F285" s="472" t="str">
        <f t="shared" si="8"/>
        <v>SUMMERS ED FUND</v>
      </c>
      <c r="G285" s="473">
        <v>19966.84</v>
      </c>
      <c r="H285" s="474">
        <v>0</v>
      </c>
      <c r="I285" s="474">
        <v>-384.09</v>
      </c>
      <c r="J285" s="474">
        <v>1944.83</v>
      </c>
      <c r="K285" s="474">
        <v>0</v>
      </c>
      <c r="L285" s="474">
        <v>0</v>
      </c>
      <c r="M285" s="474">
        <f t="shared" si="9"/>
        <v>21527.58</v>
      </c>
    </row>
    <row r="286" spans="1:13" ht="12.75" outlineLevel="1">
      <c r="A286" s="424" t="s">
        <v>401</v>
      </c>
      <c r="C286" s="471"/>
      <c r="D286" s="471"/>
      <c r="E286" s="460" t="s">
        <v>402</v>
      </c>
      <c r="F286" s="472" t="str">
        <f t="shared" si="8"/>
        <v>UNSELL SCHP CIVIL</v>
      </c>
      <c r="G286" s="473">
        <v>11860.82</v>
      </c>
      <c r="H286" s="474">
        <v>0</v>
      </c>
      <c r="I286" s="474">
        <v>-228.17</v>
      </c>
      <c r="J286" s="474">
        <v>1155.29</v>
      </c>
      <c r="K286" s="474">
        <v>0</v>
      </c>
      <c r="L286" s="474">
        <v>0</v>
      </c>
      <c r="M286" s="474">
        <f t="shared" si="9"/>
        <v>12787.939999999999</v>
      </c>
    </row>
    <row r="287" spans="1:13" ht="12.75" outlineLevel="1">
      <c r="A287" s="424" t="s">
        <v>403</v>
      </c>
      <c r="C287" s="471"/>
      <c r="D287" s="471"/>
      <c r="E287" s="460" t="s">
        <v>404</v>
      </c>
      <c r="F287" s="472" t="str">
        <f t="shared" si="8"/>
        <v>WARNER MIN ENGR SCHP</v>
      </c>
      <c r="G287" s="473">
        <v>1061.26</v>
      </c>
      <c r="H287" s="474">
        <v>0</v>
      </c>
      <c r="I287" s="474">
        <v>26.96</v>
      </c>
      <c r="J287" s="474">
        <v>106.41</v>
      </c>
      <c r="K287" s="474">
        <v>0</v>
      </c>
      <c r="L287" s="474">
        <v>0</v>
      </c>
      <c r="M287" s="474">
        <f t="shared" si="9"/>
        <v>1194.63</v>
      </c>
    </row>
    <row r="288" spans="1:13" ht="12.75" outlineLevel="1">
      <c r="A288" s="424" t="s">
        <v>405</v>
      </c>
      <c r="C288" s="471"/>
      <c r="D288" s="471"/>
      <c r="E288" s="460" t="s">
        <v>406</v>
      </c>
      <c r="F288" s="472" t="str">
        <f t="shared" si="8"/>
        <v>WIDMER SOFTWARE SCHP</v>
      </c>
      <c r="G288" s="473">
        <v>20946.37</v>
      </c>
      <c r="H288" s="474">
        <v>0</v>
      </c>
      <c r="I288" s="474">
        <v>-402.93</v>
      </c>
      <c r="J288" s="474">
        <v>2040.26</v>
      </c>
      <c r="K288" s="474">
        <v>0</v>
      </c>
      <c r="L288" s="474">
        <v>0</v>
      </c>
      <c r="M288" s="474">
        <f t="shared" si="9"/>
        <v>22583.699999999997</v>
      </c>
    </row>
    <row r="289" spans="1:13" ht="12.75" outlineLevel="1">
      <c r="A289" s="424" t="s">
        <v>407</v>
      </c>
      <c r="C289" s="471"/>
      <c r="D289" s="471"/>
      <c r="E289" s="460" t="s">
        <v>408</v>
      </c>
      <c r="F289" s="472" t="str">
        <f t="shared" si="8"/>
        <v>WOLF PROFESSORSHIP</v>
      </c>
      <c r="G289" s="473">
        <v>601611.38</v>
      </c>
      <c r="H289" s="474">
        <v>0</v>
      </c>
      <c r="I289" s="474">
        <v>-11572.93</v>
      </c>
      <c r="J289" s="474">
        <v>58598.68</v>
      </c>
      <c r="K289" s="474">
        <v>0</v>
      </c>
      <c r="L289" s="474">
        <v>0</v>
      </c>
      <c r="M289" s="474">
        <f t="shared" si="9"/>
        <v>648637.13</v>
      </c>
    </row>
    <row r="290" spans="1:13" ht="12.75" outlineLevel="1">
      <c r="A290" s="424" t="s">
        <v>409</v>
      </c>
      <c r="C290" s="471"/>
      <c r="D290" s="471"/>
      <c r="E290" s="460" t="s">
        <v>410</v>
      </c>
      <c r="F290" s="472" t="str">
        <f t="shared" si="8"/>
        <v>DOUGLAS END SCHP</v>
      </c>
      <c r="G290" s="473">
        <v>17185.62</v>
      </c>
      <c r="H290" s="474">
        <v>1000</v>
      </c>
      <c r="I290" s="474">
        <v>-284.62</v>
      </c>
      <c r="J290" s="474">
        <v>1695.35</v>
      </c>
      <c r="K290" s="474">
        <v>0</v>
      </c>
      <c r="L290" s="474">
        <v>0</v>
      </c>
      <c r="M290" s="474">
        <f t="shared" si="9"/>
        <v>19596.35</v>
      </c>
    </row>
    <row r="291" spans="1:13" ht="12.75" outlineLevel="1">
      <c r="A291" s="424" t="s">
        <v>411</v>
      </c>
      <c r="C291" s="471"/>
      <c r="D291" s="471"/>
      <c r="E291" s="460" t="s">
        <v>412</v>
      </c>
      <c r="F291" s="472" t="str">
        <f t="shared" si="8"/>
        <v>GARVEY MET SCHP</v>
      </c>
      <c r="G291" s="473">
        <v>15150.18</v>
      </c>
      <c r="H291" s="474">
        <v>0</v>
      </c>
      <c r="I291" s="474">
        <v>-291.44</v>
      </c>
      <c r="J291" s="474">
        <v>1475.67</v>
      </c>
      <c r="K291" s="474">
        <v>0</v>
      </c>
      <c r="L291" s="474">
        <v>0</v>
      </c>
      <c r="M291" s="474">
        <f t="shared" si="9"/>
        <v>16334.41</v>
      </c>
    </row>
    <row r="292" spans="1:13" ht="12.75" outlineLevel="1">
      <c r="A292" s="424" t="s">
        <v>413</v>
      </c>
      <c r="C292" s="471"/>
      <c r="D292" s="471"/>
      <c r="E292" s="460" t="s">
        <v>414</v>
      </c>
      <c r="F292" s="472" t="str">
        <f t="shared" si="8"/>
        <v>KOCH ENDOWED SCHP</v>
      </c>
      <c r="G292" s="473">
        <v>36667.42</v>
      </c>
      <c r="H292" s="474">
        <v>2000</v>
      </c>
      <c r="I292" s="474">
        <v>-634.57</v>
      </c>
      <c r="J292" s="474">
        <v>3658.51</v>
      </c>
      <c r="K292" s="474">
        <v>0</v>
      </c>
      <c r="L292" s="474">
        <v>0</v>
      </c>
      <c r="M292" s="474">
        <f t="shared" si="9"/>
        <v>41691.36</v>
      </c>
    </row>
    <row r="293" spans="1:13" ht="12.75" outlineLevel="1">
      <c r="A293" s="424" t="s">
        <v>415</v>
      </c>
      <c r="C293" s="471"/>
      <c r="D293" s="471"/>
      <c r="E293" s="460" t="s">
        <v>416</v>
      </c>
      <c r="F293" s="472" t="str">
        <f t="shared" si="8"/>
        <v>PRIESTER SCHP</v>
      </c>
      <c r="G293" s="473">
        <v>13005.69</v>
      </c>
      <c r="H293" s="474">
        <v>0</v>
      </c>
      <c r="I293" s="474">
        <v>-253.41</v>
      </c>
      <c r="J293" s="474">
        <v>1269.12</v>
      </c>
      <c r="K293" s="474">
        <v>325.35</v>
      </c>
      <c r="L293" s="474">
        <v>0</v>
      </c>
      <c r="M293" s="474">
        <f t="shared" si="9"/>
        <v>13696.050000000001</v>
      </c>
    </row>
    <row r="294" spans="1:13" ht="12.75" outlineLevel="1">
      <c r="A294" s="424" t="s">
        <v>417</v>
      </c>
      <c r="C294" s="471"/>
      <c r="D294" s="471"/>
      <c r="E294" s="460" t="s">
        <v>418</v>
      </c>
      <c r="F294" s="472" t="str">
        <f t="shared" si="8"/>
        <v>SEMINARY - A &amp; M</v>
      </c>
      <c r="G294" s="473">
        <v>654964.39</v>
      </c>
      <c r="H294" s="474">
        <v>0</v>
      </c>
      <c r="I294" s="474">
        <v>4389.7</v>
      </c>
      <c r="J294" s="474">
        <v>-15691.87</v>
      </c>
      <c r="K294" s="474">
        <v>0</v>
      </c>
      <c r="L294" s="474">
        <v>0</v>
      </c>
      <c r="M294" s="474">
        <f t="shared" si="9"/>
        <v>643662.22</v>
      </c>
    </row>
    <row r="295" spans="1:13" ht="12.75" outlineLevel="1">
      <c r="A295" s="424" t="s">
        <v>419</v>
      </c>
      <c r="C295" s="471"/>
      <c r="D295" s="471"/>
      <c r="E295" s="460" t="s">
        <v>420</v>
      </c>
      <c r="F295" s="472" t="str">
        <f t="shared" si="8"/>
        <v>SEMINARY - ENDOWMENT GENERAL</v>
      </c>
      <c r="G295" s="473">
        <v>140686.58</v>
      </c>
      <c r="H295" s="474">
        <v>0</v>
      </c>
      <c r="I295" s="474">
        <v>942.97</v>
      </c>
      <c r="J295" s="474">
        <v>-3374.87</v>
      </c>
      <c r="K295" s="474">
        <v>0</v>
      </c>
      <c r="L295" s="474">
        <v>0</v>
      </c>
      <c r="M295" s="474">
        <f t="shared" si="9"/>
        <v>138254.68</v>
      </c>
    </row>
    <row r="296" spans="1:13" ht="12.75" outlineLevel="1">
      <c r="A296" s="424" t="s">
        <v>421</v>
      </c>
      <c r="C296" s="471"/>
      <c r="D296" s="471"/>
      <c r="E296" s="460" t="s">
        <v>422</v>
      </c>
      <c r="F296" s="445" t="str">
        <f t="shared" si="8"/>
        <v>PORTH DIST LECTURE</v>
      </c>
      <c r="G296" s="521">
        <v>40489.86</v>
      </c>
      <c r="H296" s="474">
        <v>0</v>
      </c>
      <c r="I296" s="474">
        <v>-778.89</v>
      </c>
      <c r="J296" s="474">
        <v>3943.82</v>
      </c>
      <c r="K296" s="474">
        <v>0</v>
      </c>
      <c r="L296" s="474">
        <v>0</v>
      </c>
      <c r="M296" s="474">
        <f t="shared" si="9"/>
        <v>43654.79</v>
      </c>
    </row>
    <row r="297" spans="1:13" ht="12.75" outlineLevel="1">
      <c r="A297" s="424" t="s">
        <v>423</v>
      </c>
      <c r="C297" s="471"/>
      <c r="D297" s="471"/>
      <c r="E297" s="460" t="s">
        <v>424</v>
      </c>
      <c r="F297" s="445" t="str">
        <f t="shared" si="8"/>
        <v>DEUTCH ENDWD FUND</v>
      </c>
      <c r="G297" s="521">
        <v>161944.35</v>
      </c>
      <c r="H297" s="474">
        <v>50000</v>
      </c>
      <c r="I297" s="474">
        <v>-1741.7</v>
      </c>
      <c r="J297" s="474">
        <v>16751.36</v>
      </c>
      <c r="K297" s="474">
        <v>0</v>
      </c>
      <c r="L297" s="474">
        <v>0</v>
      </c>
      <c r="M297" s="474">
        <f t="shared" si="9"/>
        <v>226954.01</v>
      </c>
    </row>
    <row r="298" spans="1:13" ht="12.75" outlineLevel="1">
      <c r="A298" s="424" t="s">
        <v>425</v>
      </c>
      <c r="C298" s="471"/>
      <c r="D298" s="471"/>
      <c r="E298" s="460" t="s">
        <v>426</v>
      </c>
      <c r="F298" s="472" t="str">
        <f t="shared" si="8"/>
        <v>MODESITT SCHP FUND</v>
      </c>
      <c r="G298" s="473">
        <v>11448.88</v>
      </c>
      <c r="H298" s="474">
        <v>0</v>
      </c>
      <c r="I298" s="474">
        <v>-217.6</v>
      </c>
      <c r="J298" s="474">
        <v>1115.43</v>
      </c>
      <c r="K298" s="474">
        <v>0</v>
      </c>
      <c r="L298" s="474">
        <v>0</v>
      </c>
      <c r="M298" s="474">
        <f t="shared" si="9"/>
        <v>12346.71</v>
      </c>
    </row>
    <row r="299" spans="1:13" ht="12.75" outlineLevel="1">
      <c r="A299" s="424" t="s">
        <v>427</v>
      </c>
      <c r="C299" s="471"/>
      <c r="D299" s="471"/>
      <c r="E299" s="460" t="s">
        <v>428</v>
      </c>
      <c r="F299" s="472" t="str">
        <f t="shared" si="8"/>
        <v>VOLK ENDOWED SCHP</v>
      </c>
      <c r="G299" s="473">
        <v>20020.22</v>
      </c>
      <c r="H299" s="474">
        <v>0</v>
      </c>
      <c r="I299" s="474">
        <v>509.36</v>
      </c>
      <c r="J299" s="474">
        <v>1990.27</v>
      </c>
      <c r="K299" s="474">
        <v>0</v>
      </c>
      <c r="L299" s="474">
        <v>0</v>
      </c>
      <c r="M299" s="474">
        <f t="shared" si="9"/>
        <v>22519.850000000002</v>
      </c>
    </row>
    <row r="300" spans="1:13" ht="12.75" outlineLevel="1">
      <c r="A300" s="424" t="s">
        <v>429</v>
      </c>
      <c r="C300" s="471"/>
      <c r="D300" s="471"/>
      <c r="E300" s="460" t="s">
        <v>430</v>
      </c>
      <c r="F300" s="472" t="str">
        <f t="shared" si="8"/>
        <v>CENTER STAGE CLUB FD</v>
      </c>
      <c r="G300" s="473">
        <v>15757.75</v>
      </c>
      <c r="H300" s="474">
        <v>0</v>
      </c>
      <c r="I300" s="474">
        <v>-303.14</v>
      </c>
      <c r="J300" s="474">
        <v>1534.84</v>
      </c>
      <c r="K300" s="474">
        <v>0</v>
      </c>
      <c r="L300" s="474">
        <v>0</v>
      </c>
      <c r="M300" s="474">
        <f t="shared" si="9"/>
        <v>16989.45</v>
      </c>
    </row>
    <row r="301" spans="1:13" ht="12.75" outlineLevel="1">
      <c r="A301" s="424" t="s">
        <v>431</v>
      </c>
      <c r="C301" s="471"/>
      <c r="D301" s="471"/>
      <c r="E301" s="460" t="s">
        <v>432</v>
      </c>
      <c r="F301" s="472" t="str">
        <f t="shared" si="8"/>
        <v>HART SCHOLARSHIP</v>
      </c>
      <c r="G301" s="473">
        <v>51060.03</v>
      </c>
      <c r="H301" s="474">
        <v>0</v>
      </c>
      <c r="I301" s="474">
        <v>-982.23</v>
      </c>
      <c r="J301" s="474">
        <v>4973.41</v>
      </c>
      <c r="K301" s="474">
        <v>0</v>
      </c>
      <c r="L301" s="474">
        <v>0</v>
      </c>
      <c r="M301" s="474">
        <f t="shared" si="9"/>
        <v>55051.20999999999</v>
      </c>
    </row>
    <row r="302" spans="1:13" ht="12.75" outlineLevel="1">
      <c r="A302" s="424" t="s">
        <v>433</v>
      </c>
      <c r="C302" s="471"/>
      <c r="D302" s="471"/>
      <c r="E302" s="460" t="s">
        <v>434</v>
      </c>
      <c r="F302" s="472" t="str">
        <f t="shared" si="8"/>
        <v>SCHMIDT ENDOWED SCHP</v>
      </c>
      <c r="G302" s="473">
        <v>22074.07</v>
      </c>
      <c r="H302" s="474">
        <v>0</v>
      </c>
      <c r="I302" s="474">
        <v>-424.63</v>
      </c>
      <c r="J302" s="474">
        <v>2150.1</v>
      </c>
      <c r="K302" s="474">
        <v>0</v>
      </c>
      <c r="L302" s="474">
        <v>0</v>
      </c>
      <c r="M302" s="474">
        <f t="shared" si="9"/>
        <v>23799.539999999997</v>
      </c>
    </row>
    <row r="303" spans="1:13" ht="12.75" outlineLevel="1">
      <c r="A303" s="424" t="s">
        <v>435</v>
      </c>
      <c r="C303" s="471"/>
      <c r="D303" s="471"/>
      <c r="E303" s="460" t="s">
        <v>436</v>
      </c>
      <c r="F303" s="472" t="str">
        <f t="shared" si="8"/>
        <v>NANCY S&amp;JOHN W CLAYPOOL FUND</v>
      </c>
      <c r="G303" s="473">
        <v>21007.11</v>
      </c>
      <c r="H303" s="474">
        <v>0</v>
      </c>
      <c r="I303" s="474">
        <v>-363.37</v>
      </c>
      <c r="J303" s="474">
        <v>2050.18</v>
      </c>
      <c r="K303" s="474">
        <v>0</v>
      </c>
      <c r="L303" s="474">
        <v>0</v>
      </c>
      <c r="M303" s="474">
        <f t="shared" si="9"/>
        <v>22693.920000000002</v>
      </c>
    </row>
    <row r="304" spans="1:13" ht="12.75" outlineLevel="1">
      <c r="A304" s="424" t="s">
        <v>437</v>
      </c>
      <c r="C304" s="471"/>
      <c r="D304" s="471"/>
      <c r="E304" s="460" t="s">
        <v>438</v>
      </c>
      <c r="F304" s="472" t="str">
        <f t="shared" si="8"/>
        <v>FORSEE FAMILY ENGR FACULTY FD</v>
      </c>
      <c r="G304" s="473">
        <v>119021.38</v>
      </c>
      <c r="H304" s="474">
        <v>0</v>
      </c>
      <c r="I304" s="474">
        <v>-2289.57</v>
      </c>
      <c r="J304" s="474">
        <v>11593.03</v>
      </c>
      <c r="K304" s="474">
        <v>0</v>
      </c>
      <c r="L304" s="474">
        <v>0</v>
      </c>
      <c r="M304" s="474">
        <f t="shared" si="9"/>
        <v>128324.84</v>
      </c>
    </row>
    <row r="305" spans="1:13" ht="12.75" outlineLevel="1">
      <c r="A305" s="424" t="s">
        <v>439</v>
      </c>
      <c r="C305" s="471"/>
      <c r="D305" s="471"/>
      <c r="E305" s="460" t="s">
        <v>440</v>
      </c>
      <c r="F305" s="472" t="str">
        <f t="shared" si="8"/>
        <v>FORSEE FAMILY ENGR SCHOLARSHIP</v>
      </c>
      <c r="G305" s="473">
        <v>119025.95</v>
      </c>
      <c r="H305" s="474">
        <v>0</v>
      </c>
      <c r="I305" s="474">
        <v>-2289.66</v>
      </c>
      <c r="J305" s="474">
        <v>11593.47</v>
      </c>
      <c r="K305" s="474">
        <v>0</v>
      </c>
      <c r="L305" s="474">
        <v>0</v>
      </c>
      <c r="M305" s="474">
        <f t="shared" si="9"/>
        <v>128329.76</v>
      </c>
    </row>
    <row r="306" spans="1:13" ht="12.75" outlineLevel="1">
      <c r="A306" s="424" t="s">
        <v>441</v>
      </c>
      <c r="C306" s="471"/>
      <c r="D306" s="471"/>
      <c r="E306" s="460" t="s">
        <v>442</v>
      </c>
      <c r="F306" s="472" t="str">
        <f t="shared" si="8"/>
        <v>ROBERT *KEISER ENDOWED SCHP</v>
      </c>
      <c r="G306" s="473">
        <v>287413.03</v>
      </c>
      <c r="H306" s="474">
        <v>0</v>
      </c>
      <c r="I306" s="474">
        <v>-5648.05</v>
      </c>
      <c r="J306" s="474">
        <v>22310.47</v>
      </c>
      <c r="K306" s="474">
        <v>0</v>
      </c>
      <c r="L306" s="474">
        <v>0</v>
      </c>
      <c r="M306" s="474">
        <f t="shared" si="9"/>
        <v>304075.45000000007</v>
      </c>
    </row>
    <row r="307" spans="1:13" ht="12.75" outlineLevel="1">
      <c r="A307" s="424" t="s">
        <v>443</v>
      </c>
      <c r="C307" s="471"/>
      <c r="D307" s="471"/>
      <c r="E307" s="460" t="s">
        <v>444</v>
      </c>
      <c r="F307" s="472" t="str">
        <f t="shared" si="8"/>
        <v>KENT W *LYNN ENDOWED SCHP</v>
      </c>
      <c r="G307" s="473">
        <v>54507.99</v>
      </c>
      <c r="H307" s="474">
        <v>10095.83</v>
      </c>
      <c r="I307" s="474">
        <v>-669.58</v>
      </c>
      <c r="J307" s="474">
        <v>5361.36</v>
      </c>
      <c r="K307" s="474">
        <v>0</v>
      </c>
      <c r="L307" s="474">
        <v>0</v>
      </c>
      <c r="M307" s="474">
        <f t="shared" si="9"/>
        <v>69295.59999999999</v>
      </c>
    </row>
    <row r="308" spans="1:13" ht="12.75" outlineLevel="1">
      <c r="A308" s="424" t="s">
        <v>445</v>
      </c>
      <c r="C308" s="471"/>
      <c r="D308" s="471"/>
      <c r="E308" s="460" t="s">
        <v>446</v>
      </c>
      <c r="F308" s="472" t="str">
        <f t="shared" si="8"/>
        <v>MARK X *STRATMAN ENDOWED SCHP</v>
      </c>
      <c r="G308" s="473">
        <v>45254.16</v>
      </c>
      <c r="H308" s="474">
        <v>10000</v>
      </c>
      <c r="I308" s="474">
        <v>-630.61</v>
      </c>
      <c r="J308" s="474">
        <v>5063.56</v>
      </c>
      <c r="K308" s="474">
        <v>0</v>
      </c>
      <c r="L308" s="474">
        <v>0</v>
      </c>
      <c r="M308" s="474">
        <f t="shared" si="9"/>
        <v>59687.11</v>
      </c>
    </row>
    <row r="309" spans="1:13" ht="12.75" outlineLevel="1">
      <c r="A309" s="424" t="s">
        <v>447</v>
      </c>
      <c r="C309" s="471"/>
      <c r="D309" s="471"/>
      <c r="E309" s="460" t="s">
        <v>448</v>
      </c>
      <c r="F309" s="472" t="str">
        <f t="shared" si="8"/>
        <v>R KEISER ENDOWED FAC</v>
      </c>
      <c r="G309" s="473">
        <v>55997.39</v>
      </c>
      <c r="H309" s="474">
        <v>0</v>
      </c>
      <c r="I309" s="474">
        <v>-1077.19</v>
      </c>
      <c r="J309" s="474">
        <v>5454.29</v>
      </c>
      <c r="K309" s="474">
        <v>0</v>
      </c>
      <c r="L309" s="474">
        <v>0</v>
      </c>
      <c r="M309" s="474">
        <f t="shared" si="9"/>
        <v>60374.49</v>
      </c>
    </row>
    <row r="310" spans="1:13" ht="12.75" outlineLevel="1">
      <c r="A310" s="424" t="s">
        <v>449</v>
      </c>
      <c r="C310" s="471"/>
      <c r="D310" s="471"/>
      <c r="E310" s="460" t="s">
        <v>450</v>
      </c>
      <c r="F310" s="472" t="str">
        <f t="shared" si="8"/>
        <v>MO ASPHALT PAVEMENT FELSHIP</v>
      </c>
      <c r="G310" s="473">
        <v>9279.58</v>
      </c>
      <c r="H310" s="474">
        <v>0</v>
      </c>
      <c r="I310" s="474">
        <v>-178.5</v>
      </c>
      <c r="J310" s="474">
        <v>903.84</v>
      </c>
      <c r="K310" s="474">
        <v>0</v>
      </c>
      <c r="L310" s="474">
        <v>0</v>
      </c>
      <c r="M310" s="474">
        <f t="shared" si="9"/>
        <v>10004.92</v>
      </c>
    </row>
    <row r="311" spans="1:13" ht="12.75" outlineLevel="1">
      <c r="A311" s="424" t="s">
        <v>451</v>
      </c>
      <c r="C311" s="471"/>
      <c r="D311" s="471"/>
      <c r="E311" s="460" t="s">
        <v>452</v>
      </c>
      <c r="F311" s="472" t="str">
        <f t="shared" si="8"/>
        <v>JOHN LOCKE ENDOWED SCHP</v>
      </c>
      <c r="G311" s="473">
        <v>32024.89</v>
      </c>
      <c r="H311" s="474">
        <v>2595</v>
      </c>
      <c r="I311" s="474">
        <v>-471.09</v>
      </c>
      <c r="J311" s="474">
        <v>3037.79</v>
      </c>
      <c r="K311" s="474">
        <v>0</v>
      </c>
      <c r="L311" s="474">
        <v>0</v>
      </c>
      <c r="M311" s="474">
        <f t="shared" si="9"/>
        <v>37186.590000000004</v>
      </c>
    </row>
    <row r="312" spans="1:13" ht="12.75" outlineLevel="1">
      <c r="A312" s="424" t="s">
        <v>453</v>
      </c>
      <c r="C312" s="471"/>
      <c r="D312" s="471"/>
      <c r="E312" s="460" t="s">
        <v>454</v>
      </c>
      <c r="F312" s="472" t="str">
        <f t="shared" si="8"/>
        <v>ELLEN M *HODGES MEMORIAL SCHP</v>
      </c>
      <c r="G312" s="473">
        <v>56464.36</v>
      </c>
      <c r="H312" s="474">
        <v>0</v>
      </c>
      <c r="I312" s="474">
        <v>-790.54</v>
      </c>
      <c r="J312" s="474">
        <v>5529.16</v>
      </c>
      <c r="K312" s="474">
        <v>0</v>
      </c>
      <c r="L312" s="474">
        <v>0</v>
      </c>
      <c r="M312" s="474">
        <f t="shared" si="9"/>
        <v>61202.979999999996</v>
      </c>
    </row>
    <row r="313" spans="1:13" ht="12.75" outlineLevel="1">
      <c r="A313" s="424" t="s">
        <v>455</v>
      </c>
      <c r="C313" s="471"/>
      <c r="D313" s="471"/>
      <c r="E313" s="460" t="s">
        <v>456</v>
      </c>
      <c r="F313" s="472" t="str">
        <f t="shared" si="8"/>
        <v>HEAGLER SCHP CIVIL ENGR</v>
      </c>
      <c r="G313" s="473">
        <v>21862.6</v>
      </c>
      <c r="H313" s="474">
        <v>0</v>
      </c>
      <c r="I313" s="474">
        <v>-417.27</v>
      </c>
      <c r="J313" s="474">
        <v>2129.83</v>
      </c>
      <c r="K313" s="474">
        <v>0</v>
      </c>
      <c r="L313" s="474">
        <v>0</v>
      </c>
      <c r="M313" s="474">
        <f t="shared" si="9"/>
        <v>23575.159999999996</v>
      </c>
    </row>
    <row r="314" spans="1:13" ht="12.75" outlineLevel="1">
      <c r="A314" s="424" t="s">
        <v>457</v>
      </c>
      <c r="C314" s="471"/>
      <c r="D314" s="471"/>
      <c r="E314" s="460" t="s">
        <v>458</v>
      </c>
      <c r="F314" s="472" t="str">
        <f t="shared" si="8"/>
        <v>WEISE FRESHMAN ENGR SCHP</v>
      </c>
      <c r="G314" s="473">
        <v>42167.2</v>
      </c>
      <c r="H314" s="474">
        <v>0</v>
      </c>
      <c r="I314" s="474">
        <v>-811.15</v>
      </c>
      <c r="J314" s="474">
        <v>4107.2</v>
      </c>
      <c r="K314" s="474">
        <v>0</v>
      </c>
      <c r="L314" s="474">
        <v>0</v>
      </c>
      <c r="M314" s="474">
        <f t="shared" si="9"/>
        <v>45463.24999999999</v>
      </c>
    </row>
    <row r="315" spans="1:13" ht="12.75" outlineLevel="1">
      <c r="A315" s="424" t="s">
        <v>459</v>
      </c>
      <c r="C315" s="471"/>
      <c r="D315" s="471"/>
      <c r="E315" s="460" t="s">
        <v>460</v>
      </c>
      <c r="F315" s="472" t="str">
        <f t="shared" si="8"/>
        <v>FRIS ENDOWED SCHOLARSHIP</v>
      </c>
      <c r="G315" s="473">
        <v>53072.26</v>
      </c>
      <c r="H315" s="474">
        <v>0</v>
      </c>
      <c r="I315" s="474">
        <v>-1039.17</v>
      </c>
      <c r="J315" s="474">
        <v>4301.31</v>
      </c>
      <c r="K315" s="474">
        <v>0</v>
      </c>
      <c r="L315" s="474">
        <v>0</v>
      </c>
      <c r="M315" s="474">
        <f t="shared" si="9"/>
        <v>56334.4</v>
      </c>
    </row>
    <row r="316" spans="1:13" ht="12.75" outlineLevel="1">
      <c r="A316" s="424" t="s">
        <v>461</v>
      </c>
      <c r="C316" s="471"/>
      <c r="D316" s="471"/>
      <c r="E316" s="460" t="s">
        <v>462</v>
      </c>
      <c r="F316" s="472" t="str">
        <f t="shared" si="8"/>
        <v>BAILEY ATHLETIC ENDOWMENT</v>
      </c>
      <c r="G316" s="473">
        <v>293213.92</v>
      </c>
      <c r="H316" s="474">
        <v>0</v>
      </c>
      <c r="I316" s="474">
        <v>-5647.82</v>
      </c>
      <c r="J316" s="474">
        <v>28572.25</v>
      </c>
      <c r="K316" s="474">
        <v>1750</v>
      </c>
      <c r="L316" s="474">
        <v>0</v>
      </c>
      <c r="M316" s="474">
        <f t="shared" si="9"/>
        <v>314388.35</v>
      </c>
    </row>
    <row r="317" spans="1:13" ht="12.75" outlineLevel="1">
      <c r="A317" s="424" t="s">
        <v>463</v>
      </c>
      <c r="C317" s="471"/>
      <c r="D317" s="471"/>
      <c r="E317" s="460" t="s">
        <v>464</v>
      </c>
      <c r="F317" s="472" t="str">
        <f t="shared" si="8"/>
        <v>BOAZ SCHP CIVIL</v>
      </c>
      <c r="G317" s="473">
        <v>59279.56</v>
      </c>
      <c r="H317" s="474">
        <v>0</v>
      </c>
      <c r="I317" s="474">
        <v>-1139.5</v>
      </c>
      <c r="J317" s="474">
        <v>5772.89</v>
      </c>
      <c r="K317" s="474">
        <v>-59.78</v>
      </c>
      <c r="L317" s="474">
        <v>0</v>
      </c>
      <c r="M317" s="474">
        <f t="shared" si="9"/>
        <v>63972.729999999996</v>
      </c>
    </row>
    <row r="318" spans="1:13" ht="12.75" outlineLevel="1">
      <c r="A318" s="424" t="s">
        <v>465</v>
      </c>
      <c r="C318" s="471"/>
      <c r="D318" s="471"/>
      <c r="E318" s="460" t="s">
        <v>466</v>
      </c>
      <c r="F318" s="472" t="str">
        <f t="shared" si="8"/>
        <v>PAUL W *ELOE GRAD FELLOWSHIP</v>
      </c>
      <c r="G318" s="473">
        <v>20890.75</v>
      </c>
      <c r="H318" s="474">
        <v>-10104.63</v>
      </c>
      <c r="I318" s="474">
        <v>-416.96</v>
      </c>
      <c r="J318" s="474">
        <v>2106.5</v>
      </c>
      <c r="K318" s="474">
        <v>0</v>
      </c>
      <c r="L318" s="474">
        <v>0</v>
      </c>
      <c r="M318" s="474">
        <f t="shared" si="9"/>
        <v>12475.660000000002</v>
      </c>
    </row>
    <row r="319" spans="1:13" ht="12.75" outlineLevel="1">
      <c r="A319" s="424" t="s">
        <v>467</v>
      </c>
      <c r="C319" s="471"/>
      <c r="D319" s="471"/>
      <c r="E319" s="460" t="s">
        <v>468</v>
      </c>
      <c r="F319" s="472" t="str">
        <f t="shared" si="8"/>
        <v>SICKAFUS ENDOWED</v>
      </c>
      <c r="G319" s="473">
        <v>57642.56</v>
      </c>
      <c r="H319" s="474">
        <v>0</v>
      </c>
      <c r="I319" s="474">
        <v>-1068.06</v>
      </c>
      <c r="J319" s="474">
        <v>5618.61</v>
      </c>
      <c r="K319" s="474">
        <v>0</v>
      </c>
      <c r="L319" s="474">
        <v>0</v>
      </c>
      <c r="M319" s="474">
        <f t="shared" si="9"/>
        <v>62193.11</v>
      </c>
    </row>
    <row r="320" spans="1:13" ht="12.75" outlineLevel="1">
      <c r="A320" s="424" t="s">
        <v>469</v>
      </c>
      <c r="C320" s="471"/>
      <c r="D320" s="471"/>
      <c r="E320" s="460" t="s">
        <v>470</v>
      </c>
      <c r="F320" s="472" t="str">
        <f t="shared" si="8"/>
        <v>BROWNGARD ENDOWED SCHOLARSHIP</v>
      </c>
      <c r="G320" s="473">
        <v>11960.87</v>
      </c>
      <c r="H320" s="474">
        <v>0</v>
      </c>
      <c r="I320" s="474">
        <v>-221.86</v>
      </c>
      <c r="J320" s="474">
        <v>1165.84</v>
      </c>
      <c r="K320" s="474">
        <v>0</v>
      </c>
      <c r="L320" s="474">
        <v>0</v>
      </c>
      <c r="M320" s="474">
        <f t="shared" si="9"/>
        <v>12904.85</v>
      </c>
    </row>
    <row r="321" spans="1:13" ht="12.75" outlineLevel="1">
      <c r="A321" s="424" t="s">
        <v>471</v>
      </c>
      <c r="C321" s="471"/>
      <c r="D321" s="471"/>
      <c r="E321" s="460" t="s">
        <v>472</v>
      </c>
      <c r="F321" s="472" t="str">
        <f t="shared" si="8"/>
        <v>GRAYSON INTERNET COMPUTING</v>
      </c>
      <c r="G321" s="473">
        <v>11094.45</v>
      </c>
      <c r="H321" s="474">
        <v>0</v>
      </c>
      <c r="I321" s="474">
        <v>-213.63</v>
      </c>
      <c r="J321" s="474">
        <v>1080.61</v>
      </c>
      <c r="K321" s="474">
        <v>0</v>
      </c>
      <c r="L321" s="474">
        <v>0</v>
      </c>
      <c r="M321" s="474">
        <f t="shared" si="9"/>
        <v>11961.430000000002</v>
      </c>
    </row>
    <row r="322" spans="1:13" ht="12.75" outlineLevel="1">
      <c r="A322" s="424" t="s">
        <v>473</v>
      </c>
      <c r="C322" s="471"/>
      <c r="D322" s="471"/>
      <c r="E322" s="460" t="s">
        <v>474</v>
      </c>
      <c r="F322" s="472" t="str">
        <f t="shared" si="8"/>
        <v>LOVITT INTERNET COMPUTING</v>
      </c>
      <c r="G322" s="473">
        <v>121642.31</v>
      </c>
      <c r="H322" s="474">
        <v>0</v>
      </c>
      <c r="I322" s="474">
        <v>-2339.97</v>
      </c>
      <c r="J322" s="474">
        <v>11848.32</v>
      </c>
      <c r="K322" s="474">
        <v>0</v>
      </c>
      <c r="L322" s="474">
        <v>0</v>
      </c>
      <c r="M322" s="474">
        <f t="shared" si="9"/>
        <v>131150.66</v>
      </c>
    </row>
    <row r="323" spans="1:13" ht="12.75" outlineLevel="1">
      <c r="A323" s="424" t="s">
        <v>475</v>
      </c>
      <c r="C323" s="471"/>
      <c r="D323" s="471"/>
      <c r="E323" s="460" t="s">
        <v>476</v>
      </c>
      <c r="F323" s="472" t="str">
        <f t="shared" si="8"/>
        <v>MCKEE ENDOWED SCHOLARSHIP</v>
      </c>
      <c r="G323" s="473">
        <v>32212.34</v>
      </c>
      <c r="H323" s="474">
        <v>5000</v>
      </c>
      <c r="I323" s="474">
        <v>-447.22</v>
      </c>
      <c r="J323" s="474">
        <v>3238.81</v>
      </c>
      <c r="K323" s="474">
        <v>0</v>
      </c>
      <c r="L323" s="474">
        <v>0</v>
      </c>
      <c r="M323" s="474">
        <f t="shared" si="9"/>
        <v>40003.92999999999</v>
      </c>
    </row>
    <row r="324" spans="1:13" ht="12.75" outlineLevel="1">
      <c r="A324" s="424" t="s">
        <v>477</v>
      </c>
      <c r="C324" s="471"/>
      <c r="D324" s="471"/>
      <c r="E324" s="460" t="s">
        <v>478</v>
      </c>
      <c r="F324" s="472" t="str">
        <f t="shared" si="8"/>
        <v>RICHARD W HANNUM ENDOWED DEV</v>
      </c>
      <c r="G324" s="473">
        <v>13715.95</v>
      </c>
      <c r="H324" s="474">
        <v>0</v>
      </c>
      <c r="I324" s="474">
        <v>-263.86</v>
      </c>
      <c r="J324" s="474">
        <v>1335.96</v>
      </c>
      <c r="K324" s="474">
        <v>0</v>
      </c>
      <c r="L324" s="474">
        <v>0</v>
      </c>
      <c r="M324" s="474">
        <f t="shared" si="9"/>
        <v>14788.05</v>
      </c>
    </row>
    <row r="325" spans="1:13" ht="12.75" outlineLevel="1">
      <c r="A325" s="424" t="s">
        <v>479</v>
      </c>
      <c r="C325" s="471"/>
      <c r="D325" s="471"/>
      <c r="E325" s="460" t="s">
        <v>480</v>
      </c>
      <c r="F325" s="472" t="str">
        <f t="shared" si="8"/>
        <v>CHEMICAL ENGR FLEXIBLE END FD</v>
      </c>
      <c r="G325" s="473">
        <v>36959.86</v>
      </c>
      <c r="H325" s="474">
        <v>2926</v>
      </c>
      <c r="I325" s="474">
        <v>-573.16</v>
      </c>
      <c r="J325" s="474">
        <v>3625.5</v>
      </c>
      <c r="K325" s="474">
        <v>0</v>
      </c>
      <c r="L325" s="474">
        <v>0</v>
      </c>
      <c r="M325" s="474">
        <f t="shared" si="9"/>
        <v>42938.2</v>
      </c>
    </row>
    <row r="326" spans="1:13" ht="12.75" outlineLevel="1">
      <c r="A326" s="424" t="s">
        <v>481</v>
      </c>
      <c r="C326" s="471"/>
      <c r="D326" s="471"/>
      <c r="E326" s="460" t="s">
        <v>482</v>
      </c>
      <c r="F326" s="472" t="str">
        <f t="shared" si="8"/>
        <v>MO CONFERENCE SCHP</v>
      </c>
      <c r="G326" s="473">
        <v>10429.83</v>
      </c>
      <c r="H326" s="474">
        <v>0</v>
      </c>
      <c r="I326" s="474">
        <v>265.36</v>
      </c>
      <c r="J326" s="474">
        <v>1037.55</v>
      </c>
      <c r="K326" s="474">
        <v>0</v>
      </c>
      <c r="L326" s="474">
        <v>0</v>
      </c>
      <c r="M326" s="474">
        <f t="shared" si="9"/>
        <v>11732.74</v>
      </c>
    </row>
    <row r="327" spans="1:13" ht="12.75" outlineLevel="1">
      <c r="A327" s="424" t="s">
        <v>483</v>
      </c>
      <c r="C327" s="471"/>
      <c r="D327" s="471"/>
      <c r="E327" s="460" t="s">
        <v>484</v>
      </c>
      <c r="F327" s="472" t="str">
        <f t="shared" si="8"/>
        <v>RICHARD L *BULLOCK RECRUIT FUN</v>
      </c>
      <c r="G327" s="473">
        <v>12155.71</v>
      </c>
      <c r="H327" s="474">
        <v>500</v>
      </c>
      <c r="I327" s="474">
        <v>-217.21</v>
      </c>
      <c r="J327" s="474">
        <v>1175.8</v>
      </c>
      <c r="K327" s="474">
        <v>0</v>
      </c>
      <c r="L327" s="474">
        <v>0</v>
      </c>
      <c r="M327" s="474">
        <f t="shared" si="9"/>
        <v>13614.3</v>
      </c>
    </row>
    <row r="328" spans="1:13" ht="12.75" outlineLevel="1">
      <c r="A328" s="424" t="s">
        <v>485</v>
      </c>
      <c r="C328" s="471"/>
      <c r="D328" s="471"/>
      <c r="E328" s="460" t="s">
        <v>486</v>
      </c>
      <c r="F328" s="472" t="str">
        <f t="shared" si="8"/>
        <v>SPRINGER SCHP FUND</v>
      </c>
      <c r="G328" s="473">
        <v>14845.12</v>
      </c>
      <c r="H328" s="474">
        <v>0</v>
      </c>
      <c r="I328" s="474">
        <v>0</v>
      </c>
      <c r="J328" s="474">
        <v>-623.42</v>
      </c>
      <c r="K328" s="474">
        <v>0</v>
      </c>
      <c r="L328" s="474">
        <v>0</v>
      </c>
      <c r="M328" s="474">
        <f t="shared" si="9"/>
        <v>14221.7</v>
      </c>
    </row>
    <row r="329" spans="1:13" ht="12.75" outlineLevel="1">
      <c r="A329" s="424" t="s">
        <v>487</v>
      </c>
      <c r="C329" s="471"/>
      <c r="D329" s="471"/>
      <c r="E329" s="460" t="s">
        <v>488</v>
      </c>
      <c r="F329" s="472" t="str">
        <f t="shared" si="8"/>
        <v>BLUE KEY SCHP FUND</v>
      </c>
      <c r="G329" s="473">
        <v>13969.56</v>
      </c>
      <c r="H329" s="474">
        <v>50</v>
      </c>
      <c r="I329" s="474">
        <v>-224.08</v>
      </c>
      <c r="J329" s="474">
        <v>1361.99</v>
      </c>
      <c r="K329" s="474">
        <v>0</v>
      </c>
      <c r="L329" s="474">
        <v>0</v>
      </c>
      <c r="M329" s="474">
        <f t="shared" si="9"/>
        <v>15157.47</v>
      </c>
    </row>
    <row r="330" spans="1:13" ht="12.75" outlineLevel="1">
      <c r="A330" s="424" t="s">
        <v>489</v>
      </c>
      <c r="C330" s="471"/>
      <c r="D330" s="471"/>
      <c r="E330" s="460" t="s">
        <v>490</v>
      </c>
      <c r="F330" s="472" t="str">
        <f t="shared" si="8"/>
        <v>CARLSTROM ENDOWED SCHP</v>
      </c>
      <c r="G330" s="473">
        <v>12732.92</v>
      </c>
      <c r="H330" s="474">
        <v>0</v>
      </c>
      <c r="I330" s="474">
        <v>323.55</v>
      </c>
      <c r="J330" s="474">
        <v>1276.66</v>
      </c>
      <c r="K330" s="474">
        <v>0</v>
      </c>
      <c r="L330" s="474">
        <v>0</v>
      </c>
      <c r="M330" s="474">
        <f t="shared" si="9"/>
        <v>14333.13</v>
      </c>
    </row>
    <row r="331" spans="1:13" ht="12.75" outlineLevel="1">
      <c r="A331" s="424" t="s">
        <v>491</v>
      </c>
      <c r="C331" s="471"/>
      <c r="D331" s="471"/>
      <c r="E331" s="460" t="s">
        <v>492</v>
      </c>
      <c r="F331" s="472" t="str">
        <f aca="true" t="shared" si="10" ref="F331:F394">UPPER(E331)</f>
        <v>MCGHEE ENDOWED SCHOLARSHIP</v>
      </c>
      <c r="G331" s="473">
        <v>31228.52</v>
      </c>
      <c r="H331" s="474">
        <v>0</v>
      </c>
      <c r="I331" s="474">
        <v>-600.73</v>
      </c>
      <c r="J331" s="474">
        <v>3041.76</v>
      </c>
      <c r="K331" s="474">
        <v>0</v>
      </c>
      <c r="L331" s="474">
        <v>0</v>
      </c>
      <c r="M331" s="474">
        <f aca="true" t="shared" si="11" ref="M331:M394">G331+H331+I331+J331-K331+L331</f>
        <v>33669.55</v>
      </c>
    </row>
    <row r="332" spans="1:13" ht="12.75" outlineLevel="1">
      <c r="A332" s="424" t="s">
        <v>493</v>
      </c>
      <c r="C332" s="471"/>
      <c r="D332" s="471"/>
      <c r="E332" s="460" t="s">
        <v>494</v>
      </c>
      <c r="F332" s="472" t="str">
        <f t="shared" si="10"/>
        <v>QUENON ENDOWED LECTURESHIP</v>
      </c>
      <c r="G332" s="473">
        <v>12865.79</v>
      </c>
      <c r="H332" s="474">
        <v>0</v>
      </c>
      <c r="I332" s="474">
        <v>-247.49</v>
      </c>
      <c r="J332" s="474">
        <v>1253.19</v>
      </c>
      <c r="K332" s="474">
        <v>0</v>
      </c>
      <c r="L332" s="474">
        <v>0</v>
      </c>
      <c r="M332" s="474">
        <f t="shared" si="11"/>
        <v>13871.490000000002</v>
      </c>
    </row>
    <row r="333" spans="1:13" ht="12.75" outlineLevel="1">
      <c r="A333" s="424" t="s">
        <v>495</v>
      </c>
      <c r="C333" s="471"/>
      <c r="D333" s="471"/>
      <c r="E333" s="460" t="s">
        <v>496</v>
      </c>
      <c r="F333" s="472" t="str">
        <f t="shared" si="10"/>
        <v>THOMPSON ENDOW SCH PETRO ENGR</v>
      </c>
      <c r="G333" s="473">
        <v>32205.88</v>
      </c>
      <c r="H333" s="474">
        <v>0</v>
      </c>
      <c r="I333" s="474">
        <v>-488</v>
      </c>
      <c r="J333" s="474">
        <v>3150.01</v>
      </c>
      <c r="K333" s="474">
        <v>0</v>
      </c>
      <c r="L333" s="474">
        <v>0</v>
      </c>
      <c r="M333" s="474">
        <f t="shared" si="11"/>
        <v>34867.89</v>
      </c>
    </row>
    <row r="334" spans="1:13" ht="12.75" outlineLevel="1">
      <c r="A334" s="424" t="s">
        <v>497</v>
      </c>
      <c r="C334" s="471"/>
      <c r="D334" s="471"/>
      <c r="E334" s="460" t="s">
        <v>498</v>
      </c>
      <c r="F334" s="472" t="str">
        <f t="shared" si="10"/>
        <v>TOOMEY PARK SCH FND UMR FRESH</v>
      </c>
      <c r="G334" s="473">
        <v>1</v>
      </c>
      <c r="H334" s="474">
        <v>0</v>
      </c>
      <c r="I334" s="474">
        <v>0</v>
      </c>
      <c r="J334" s="474">
        <v>0</v>
      </c>
      <c r="K334" s="474">
        <v>0</v>
      </c>
      <c r="L334" s="474">
        <v>0</v>
      </c>
      <c r="M334" s="474">
        <f t="shared" si="11"/>
        <v>1</v>
      </c>
    </row>
    <row r="335" spans="1:13" ht="12.75" outlineLevel="1">
      <c r="A335" s="424" t="s">
        <v>499</v>
      </c>
      <c r="C335" s="471"/>
      <c r="D335" s="471"/>
      <c r="E335" s="460" t="s">
        <v>500</v>
      </c>
      <c r="F335" s="472" t="str">
        <f t="shared" si="10"/>
        <v>JAMES SCHP FUND</v>
      </c>
      <c r="G335" s="473">
        <v>301450.74</v>
      </c>
      <c r="H335" s="474">
        <v>34252</v>
      </c>
      <c r="I335" s="474">
        <v>-4532.58</v>
      </c>
      <c r="J335" s="474">
        <v>29718.08</v>
      </c>
      <c r="K335" s="474">
        <v>0</v>
      </c>
      <c r="L335" s="474">
        <v>0</v>
      </c>
      <c r="M335" s="474">
        <f t="shared" si="11"/>
        <v>360888.24</v>
      </c>
    </row>
    <row r="336" spans="1:13" ht="12.75" outlineLevel="1">
      <c r="A336" s="424" t="s">
        <v>501</v>
      </c>
      <c r="C336" s="471"/>
      <c r="D336" s="471"/>
      <c r="E336" s="460" t="s">
        <v>502</v>
      </c>
      <c r="F336" s="472" t="str">
        <f t="shared" si="10"/>
        <v>WRIGHT ENDOWED SCHP</v>
      </c>
      <c r="G336" s="473">
        <v>45788.14</v>
      </c>
      <c r="H336" s="474">
        <v>10000</v>
      </c>
      <c r="I336" s="474">
        <v>-404.68</v>
      </c>
      <c r="J336" s="474">
        <v>4396.42</v>
      </c>
      <c r="K336" s="474">
        <v>0</v>
      </c>
      <c r="L336" s="474">
        <v>0</v>
      </c>
      <c r="M336" s="474">
        <f t="shared" si="11"/>
        <v>59779.88</v>
      </c>
    </row>
    <row r="337" spans="1:13" ht="12.75" outlineLevel="1">
      <c r="A337" s="424" t="s">
        <v>503</v>
      </c>
      <c r="C337" s="471"/>
      <c r="D337" s="471"/>
      <c r="E337" s="460" t="s">
        <v>504</v>
      </c>
      <c r="F337" s="472" t="str">
        <f t="shared" si="10"/>
        <v>KISSLINGER METALLURGY ENDOW</v>
      </c>
      <c r="G337" s="473">
        <v>152990.98</v>
      </c>
      <c r="H337" s="474">
        <v>0</v>
      </c>
      <c r="I337" s="474">
        <v>-2112.58</v>
      </c>
      <c r="J337" s="474">
        <v>14981.99</v>
      </c>
      <c r="K337" s="474">
        <v>0</v>
      </c>
      <c r="L337" s="474">
        <v>0</v>
      </c>
      <c r="M337" s="474">
        <f t="shared" si="11"/>
        <v>165860.39</v>
      </c>
    </row>
    <row r="338" spans="1:13" ht="12.75" outlineLevel="1">
      <c r="A338" s="424" t="s">
        <v>505</v>
      </c>
      <c r="C338" s="471"/>
      <c r="D338" s="471"/>
      <c r="E338" s="460" t="s">
        <v>506</v>
      </c>
      <c r="F338" s="472" t="str">
        <f t="shared" si="10"/>
        <v>KISSLINGER ATHLETIC ENDOW</v>
      </c>
      <c r="G338" s="473">
        <v>49899.84</v>
      </c>
      <c r="H338" s="474">
        <v>1000</v>
      </c>
      <c r="I338" s="474">
        <v>-506.06</v>
      </c>
      <c r="J338" s="474">
        <v>4967.25</v>
      </c>
      <c r="K338" s="474">
        <v>0</v>
      </c>
      <c r="L338" s="474">
        <v>0</v>
      </c>
      <c r="M338" s="474">
        <f t="shared" si="11"/>
        <v>55361.03</v>
      </c>
    </row>
    <row r="339" spans="1:13" ht="12.75" outlineLevel="1">
      <c r="A339" s="424" t="s">
        <v>507</v>
      </c>
      <c r="C339" s="471"/>
      <c r="D339" s="471"/>
      <c r="E339" s="460" t="s">
        <v>508</v>
      </c>
      <c r="F339" s="472" t="str">
        <f t="shared" si="10"/>
        <v>CONSTANCE R BROWN EN FD HIS &amp;</v>
      </c>
      <c r="G339" s="473">
        <v>41056.86</v>
      </c>
      <c r="H339" s="474">
        <v>0</v>
      </c>
      <c r="I339" s="474">
        <v>-789.81</v>
      </c>
      <c r="J339" s="474">
        <v>3999.07</v>
      </c>
      <c r="K339" s="474">
        <v>0</v>
      </c>
      <c r="L339" s="474">
        <v>0</v>
      </c>
      <c r="M339" s="474">
        <f t="shared" si="11"/>
        <v>44266.12</v>
      </c>
    </row>
    <row r="340" spans="1:13" ht="12.75" outlineLevel="1">
      <c r="A340" s="424" t="s">
        <v>509</v>
      </c>
      <c r="C340" s="471"/>
      <c r="D340" s="471"/>
      <c r="E340" s="460" t="s">
        <v>510</v>
      </c>
      <c r="F340" s="472" t="str">
        <f t="shared" si="10"/>
        <v>FINLEY ENDOW SCHOLAR ATH</v>
      </c>
      <c r="G340" s="473">
        <v>18679.89</v>
      </c>
      <c r="H340" s="474">
        <v>525</v>
      </c>
      <c r="I340" s="474">
        <v>-172.78</v>
      </c>
      <c r="J340" s="474">
        <v>1869.43</v>
      </c>
      <c r="K340" s="474">
        <v>0</v>
      </c>
      <c r="L340" s="474">
        <v>0</v>
      </c>
      <c r="M340" s="474">
        <f t="shared" si="11"/>
        <v>20901.54</v>
      </c>
    </row>
    <row r="341" spans="1:13" ht="12.75" outlineLevel="1">
      <c r="A341" s="424" t="s">
        <v>511</v>
      </c>
      <c r="C341" s="471"/>
      <c r="D341" s="471"/>
      <c r="E341" s="460" t="s">
        <v>512</v>
      </c>
      <c r="F341" s="472" t="str">
        <f t="shared" si="10"/>
        <v>DOSHI QUASI ENDOWMENT FUND</v>
      </c>
      <c r="G341" s="473">
        <v>32632.36</v>
      </c>
      <c r="H341" s="474">
        <v>0</v>
      </c>
      <c r="I341" s="474">
        <v>-627.74</v>
      </c>
      <c r="J341" s="474">
        <v>3178.5</v>
      </c>
      <c r="K341" s="474">
        <v>0</v>
      </c>
      <c r="L341" s="474">
        <v>0</v>
      </c>
      <c r="M341" s="474">
        <f t="shared" si="11"/>
        <v>35183.119999999995</v>
      </c>
    </row>
    <row r="342" spans="1:13" ht="12.75" outlineLevel="1">
      <c r="A342" s="424" t="s">
        <v>513</v>
      </c>
      <c r="C342" s="471"/>
      <c r="D342" s="471"/>
      <c r="E342" s="460" t="s">
        <v>514</v>
      </c>
      <c r="F342" s="472" t="str">
        <f t="shared" si="10"/>
        <v>F H CONRAD CHEM ENGR SCH</v>
      </c>
      <c r="G342" s="473">
        <v>85034</v>
      </c>
      <c r="H342" s="474">
        <v>420</v>
      </c>
      <c r="I342" s="474">
        <v>-1596.66</v>
      </c>
      <c r="J342" s="474">
        <v>8293.44</v>
      </c>
      <c r="K342" s="474">
        <v>0</v>
      </c>
      <c r="L342" s="474">
        <v>0</v>
      </c>
      <c r="M342" s="474">
        <f t="shared" si="11"/>
        <v>92150.78</v>
      </c>
    </row>
    <row r="343" spans="1:13" ht="12.75" outlineLevel="1">
      <c r="A343" s="424" t="s">
        <v>515</v>
      </c>
      <c r="C343" s="471"/>
      <c r="D343" s="471"/>
      <c r="E343" s="460" t="s">
        <v>516</v>
      </c>
      <c r="F343" s="472" t="str">
        <f t="shared" si="10"/>
        <v>PHILIP &amp; DIANE WADE ENDOWMENT</v>
      </c>
      <c r="G343" s="473">
        <v>28523.55</v>
      </c>
      <c r="H343" s="474">
        <v>0</v>
      </c>
      <c r="I343" s="474">
        <v>-548.68</v>
      </c>
      <c r="J343" s="474">
        <v>2778.28</v>
      </c>
      <c r="K343" s="474">
        <v>0</v>
      </c>
      <c r="L343" s="474">
        <v>0</v>
      </c>
      <c r="M343" s="474">
        <f t="shared" si="11"/>
        <v>30753.149999999998</v>
      </c>
    </row>
    <row r="344" spans="1:13" ht="12.75" outlineLevel="1">
      <c r="A344" s="424" t="s">
        <v>517</v>
      </c>
      <c r="C344" s="471"/>
      <c r="D344" s="471"/>
      <c r="E344" s="460" t="s">
        <v>518</v>
      </c>
      <c r="F344" s="445" t="str">
        <f t="shared" si="10"/>
        <v>CONSTANCE BROWN FACULTY EXCELL</v>
      </c>
      <c r="G344" s="521">
        <v>16.18</v>
      </c>
      <c r="H344" s="474">
        <v>0</v>
      </c>
      <c r="I344" s="474">
        <v>0.68</v>
      </c>
      <c r="J344" s="474">
        <v>0</v>
      </c>
      <c r="K344" s="474">
        <v>0</v>
      </c>
      <c r="L344" s="474">
        <v>0</v>
      </c>
      <c r="M344" s="474">
        <f t="shared" si="11"/>
        <v>16.86</v>
      </c>
    </row>
    <row r="345" spans="1:13" ht="12.75" outlineLevel="1">
      <c r="A345" s="424" t="s">
        <v>519</v>
      </c>
      <c r="C345" s="471"/>
      <c r="D345" s="471"/>
      <c r="E345" s="460" t="s">
        <v>520</v>
      </c>
      <c r="F345" s="445" t="str">
        <f t="shared" si="10"/>
        <v>CHARLES &amp; JEAN NASLUND ENDOWED</v>
      </c>
      <c r="G345" s="521">
        <v>632.43</v>
      </c>
      <c r="H345" s="474">
        <v>0</v>
      </c>
      <c r="I345" s="474">
        <v>16.07</v>
      </c>
      <c r="J345" s="474">
        <v>63.42</v>
      </c>
      <c r="K345" s="474">
        <v>0</v>
      </c>
      <c r="L345" s="474">
        <v>0</v>
      </c>
      <c r="M345" s="474">
        <f t="shared" si="11"/>
        <v>711.92</v>
      </c>
    </row>
    <row r="346" spans="1:13" ht="12.75" outlineLevel="1">
      <c r="A346" s="424" t="s">
        <v>521</v>
      </c>
      <c r="C346" s="471"/>
      <c r="D346" s="471"/>
      <c r="E346" s="460" t="s">
        <v>522</v>
      </c>
      <c r="F346" s="472" t="str">
        <f t="shared" si="10"/>
        <v>ASSOCIATED GENERAL CONTRACTORS</v>
      </c>
      <c r="G346" s="473">
        <v>18825.35</v>
      </c>
      <c r="H346" s="474">
        <v>1000</v>
      </c>
      <c r="I346" s="474">
        <v>-338.1</v>
      </c>
      <c r="J346" s="474">
        <v>1899.06</v>
      </c>
      <c r="K346" s="474">
        <v>0</v>
      </c>
      <c r="L346" s="474">
        <v>0</v>
      </c>
      <c r="M346" s="474">
        <f t="shared" si="11"/>
        <v>21386.31</v>
      </c>
    </row>
    <row r="347" spans="1:13" ht="12.75" outlineLevel="1">
      <c r="A347" s="424" t="s">
        <v>523</v>
      </c>
      <c r="C347" s="471"/>
      <c r="D347" s="471"/>
      <c r="E347" s="460" t="s">
        <v>524</v>
      </c>
      <c r="F347" s="472" t="str">
        <f t="shared" si="10"/>
        <v>MICHAEL BRATCHER ENDOWED FUND</v>
      </c>
      <c r="G347" s="473">
        <v>12206.24</v>
      </c>
      <c r="H347" s="474">
        <v>0</v>
      </c>
      <c r="I347" s="474">
        <v>310.19</v>
      </c>
      <c r="J347" s="474">
        <v>1223.82</v>
      </c>
      <c r="K347" s="474">
        <v>0</v>
      </c>
      <c r="L347" s="474">
        <v>0</v>
      </c>
      <c r="M347" s="474">
        <f t="shared" si="11"/>
        <v>13740.25</v>
      </c>
    </row>
    <row r="348" spans="1:13" ht="12.75" outlineLevel="1">
      <c r="A348" s="424" t="s">
        <v>525</v>
      </c>
      <c r="C348" s="471"/>
      <c r="D348" s="471"/>
      <c r="E348" s="460" t="s">
        <v>526</v>
      </c>
      <c r="F348" s="472" t="str">
        <f t="shared" si="10"/>
        <v>BROWNING SCHOLARSHIP</v>
      </c>
      <c r="G348" s="473">
        <v>103647.7</v>
      </c>
      <c r="H348" s="474">
        <v>0</v>
      </c>
      <c r="I348" s="474">
        <v>-1993.83</v>
      </c>
      <c r="J348" s="474">
        <v>10095.58</v>
      </c>
      <c r="K348" s="474">
        <v>0</v>
      </c>
      <c r="L348" s="474">
        <v>0</v>
      </c>
      <c r="M348" s="474">
        <f t="shared" si="11"/>
        <v>111749.45</v>
      </c>
    </row>
    <row r="349" spans="1:13" ht="12.75" outlineLevel="1">
      <c r="A349" s="424" t="s">
        <v>527</v>
      </c>
      <c r="C349" s="471"/>
      <c r="D349" s="471"/>
      <c r="E349" s="460" t="s">
        <v>528</v>
      </c>
      <c r="F349" s="472" t="str">
        <f t="shared" si="10"/>
        <v>WILLIAM M BYRNE SCHOLARS</v>
      </c>
      <c r="G349" s="473">
        <v>10200.29</v>
      </c>
      <c r="H349" s="474">
        <v>1000</v>
      </c>
      <c r="I349" s="474">
        <v>-121.14</v>
      </c>
      <c r="J349" s="474">
        <v>1117.06</v>
      </c>
      <c r="K349" s="474">
        <v>0</v>
      </c>
      <c r="L349" s="474">
        <v>1000</v>
      </c>
      <c r="M349" s="474">
        <f t="shared" si="11"/>
        <v>13196.210000000001</v>
      </c>
    </row>
    <row r="350" spans="1:13" ht="12.75" outlineLevel="1">
      <c r="A350" s="424" t="s">
        <v>529</v>
      </c>
      <c r="C350" s="471"/>
      <c r="D350" s="471"/>
      <c r="E350" s="460" t="s">
        <v>530</v>
      </c>
      <c r="F350" s="472" t="str">
        <f t="shared" si="10"/>
        <v>WEIR ENDOWED SCHOLARSHIP FUND</v>
      </c>
      <c r="G350" s="473">
        <v>14553.47</v>
      </c>
      <c r="H350" s="474">
        <v>0</v>
      </c>
      <c r="I350" s="474">
        <v>-279.96</v>
      </c>
      <c r="J350" s="474">
        <v>1417.56</v>
      </c>
      <c r="K350" s="474">
        <v>0</v>
      </c>
      <c r="L350" s="474">
        <v>0</v>
      </c>
      <c r="M350" s="474">
        <f t="shared" si="11"/>
        <v>15691.07</v>
      </c>
    </row>
    <row r="351" spans="1:13" ht="12.75" outlineLevel="1">
      <c r="A351" s="424" t="s">
        <v>531</v>
      </c>
      <c r="C351" s="471"/>
      <c r="D351" s="471"/>
      <c r="E351" s="460" t="s">
        <v>532</v>
      </c>
      <c r="F351" s="472" t="str">
        <f t="shared" si="10"/>
        <v>GLADBACH ENDOWED FUND GEOLOGY</v>
      </c>
      <c r="G351" s="473">
        <v>20258.9</v>
      </c>
      <c r="H351" s="474">
        <v>5000</v>
      </c>
      <c r="I351" s="474">
        <v>585.35</v>
      </c>
      <c r="J351" s="474">
        <v>1917.16</v>
      </c>
      <c r="K351" s="474">
        <v>0</v>
      </c>
      <c r="L351" s="474">
        <v>0</v>
      </c>
      <c r="M351" s="474">
        <f t="shared" si="11"/>
        <v>27761.41</v>
      </c>
    </row>
    <row r="352" spans="1:13" ht="12.75" outlineLevel="1">
      <c r="A352" s="424" t="s">
        <v>533</v>
      </c>
      <c r="C352" s="471"/>
      <c r="D352" s="471"/>
      <c r="E352" s="460" t="s">
        <v>534</v>
      </c>
      <c r="F352" s="472" t="str">
        <f t="shared" si="10"/>
        <v>GRANT FIELD CAMP SCHOLARSHIP</v>
      </c>
      <c r="G352" s="473">
        <v>11648.83</v>
      </c>
      <c r="H352" s="474">
        <v>0</v>
      </c>
      <c r="I352" s="474">
        <v>-224.08</v>
      </c>
      <c r="J352" s="474">
        <v>1134.63</v>
      </c>
      <c r="K352" s="474">
        <v>0</v>
      </c>
      <c r="L352" s="474">
        <v>0</v>
      </c>
      <c r="M352" s="474">
        <f t="shared" si="11"/>
        <v>12559.380000000001</v>
      </c>
    </row>
    <row r="353" spans="1:13" ht="12.75" outlineLevel="1">
      <c r="A353" s="424" t="s">
        <v>535</v>
      </c>
      <c r="C353" s="471"/>
      <c r="D353" s="471"/>
      <c r="E353" s="460" t="s">
        <v>536</v>
      </c>
      <c r="F353" s="472" t="str">
        <f t="shared" si="10"/>
        <v>BERNARD R SARCHET DISTINGUISHE</v>
      </c>
      <c r="G353" s="473">
        <v>553363.04</v>
      </c>
      <c r="H353" s="474">
        <v>4500</v>
      </c>
      <c r="I353" s="474">
        <v>14386.29</v>
      </c>
      <c r="J353" s="474">
        <v>48630.04</v>
      </c>
      <c r="K353" s="474">
        <v>0</v>
      </c>
      <c r="L353" s="474">
        <v>0</v>
      </c>
      <c r="M353" s="474">
        <f t="shared" si="11"/>
        <v>620879.3700000001</v>
      </c>
    </row>
    <row r="354" spans="1:13" ht="12.75" outlineLevel="1">
      <c r="A354" s="424" t="s">
        <v>537</v>
      </c>
      <c r="C354" s="471"/>
      <c r="D354" s="471"/>
      <c r="E354" s="460" t="s">
        <v>538</v>
      </c>
      <c r="F354" s="472" t="str">
        <f t="shared" si="10"/>
        <v>LESTER BIRBECK CHAIR</v>
      </c>
      <c r="G354" s="473">
        <v>1524861.73</v>
      </c>
      <c r="H354" s="474">
        <v>0</v>
      </c>
      <c r="I354" s="474">
        <v>-29333.05</v>
      </c>
      <c r="J354" s="474">
        <v>148525.98</v>
      </c>
      <c r="K354" s="474">
        <v>0</v>
      </c>
      <c r="L354" s="474">
        <v>0</v>
      </c>
      <c r="M354" s="474">
        <f t="shared" si="11"/>
        <v>1644054.66</v>
      </c>
    </row>
    <row r="355" spans="1:13" ht="12.75" outlineLevel="1">
      <c r="A355" s="424" t="s">
        <v>539</v>
      </c>
      <c r="C355" s="471"/>
      <c r="D355" s="471"/>
      <c r="E355" s="460" t="s">
        <v>540</v>
      </c>
      <c r="F355" s="472" t="str">
        <f t="shared" si="10"/>
        <v>WIGGINS ENDOWED FUND HISTORY</v>
      </c>
      <c r="G355" s="473">
        <v>12743.6</v>
      </c>
      <c r="H355" s="474">
        <v>0</v>
      </c>
      <c r="I355" s="474">
        <v>-245.14</v>
      </c>
      <c r="J355" s="474">
        <v>1241.26</v>
      </c>
      <c r="K355" s="474">
        <v>0</v>
      </c>
      <c r="L355" s="474">
        <v>0</v>
      </c>
      <c r="M355" s="474">
        <f t="shared" si="11"/>
        <v>13739.720000000001</v>
      </c>
    </row>
    <row r="356" spans="1:13" ht="12.75" outlineLevel="1">
      <c r="A356" s="424" t="s">
        <v>541</v>
      </c>
      <c r="C356" s="471"/>
      <c r="D356" s="471"/>
      <c r="E356" s="460" t="s">
        <v>542</v>
      </c>
      <c r="F356" s="472" t="str">
        <f t="shared" si="10"/>
        <v>ENGLISH ALUMNI ENDOWED SCH</v>
      </c>
      <c r="G356" s="473">
        <v>19034.64</v>
      </c>
      <c r="H356" s="474">
        <v>0</v>
      </c>
      <c r="I356" s="474">
        <v>-366.16</v>
      </c>
      <c r="J356" s="474">
        <v>1854.02</v>
      </c>
      <c r="K356" s="474">
        <v>0</v>
      </c>
      <c r="L356" s="474">
        <v>0</v>
      </c>
      <c r="M356" s="474">
        <f t="shared" si="11"/>
        <v>20522.5</v>
      </c>
    </row>
    <row r="357" spans="1:13" ht="12.75" outlineLevel="1">
      <c r="A357" s="424" t="s">
        <v>543</v>
      </c>
      <c r="C357" s="471"/>
      <c r="D357" s="471"/>
      <c r="E357" s="460" t="s">
        <v>544</v>
      </c>
      <c r="F357" s="472" t="str">
        <f t="shared" si="10"/>
        <v>THOMAS &amp; CAROL VOSS ENDOWED</v>
      </c>
      <c r="G357" s="473">
        <v>6790.82</v>
      </c>
      <c r="H357" s="474">
        <v>5000</v>
      </c>
      <c r="I357" s="474">
        <v>56.41</v>
      </c>
      <c r="J357" s="474">
        <v>995.93</v>
      </c>
      <c r="K357" s="474">
        <v>0</v>
      </c>
      <c r="L357" s="474">
        <v>0</v>
      </c>
      <c r="M357" s="474">
        <f t="shared" si="11"/>
        <v>12843.16</v>
      </c>
    </row>
    <row r="358" spans="1:13" ht="12.75" outlineLevel="1">
      <c r="A358" s="424" t="s">
        <v>545</v>
      </c>
      <c r="C358" s="471"/>
      <c r="D358" s="471"/>
      <c r="E358" s="460" t="s">
        <v>546</v>
      </c>
      <c r="F358" s="472" t="str">
        <f t="shared" si="10"/>
        <v>JENNINGS ENDOWED SCHOLARSHIP</v>
      </c>
      <c r="G358" s="473">
        <v>543168.77</v>
      </c>
      <c r="H358" s="474">
        <v>42088.78</v>
      </c>
      <c r="I358" s="474">
        <v>-10185.21</v>
      </c>
      <c r="J358" s="474">
        <v>52608.47</v>
      </c>
      <c r="K358" s="474">
        <v>0</v>
      </c>
      <c r="L358" s="474">
        <v>0</v>
      </c>
      <c r="M358" s="474">
        <f t="shared" si="11"/>
        <v>627680.81</v>
      </c>
    </row>
    <row r="359" spans="1:13" ht="12.75" outlineLevel="1">
      <c r="A359" s="424" t="s">
        <v>547</v>
      </c>
      <c r="C359" s="471"/>
      <c r="D359" s="471"/>
      <c r="E359" s="460" t="s">
        <v>548</v>
      </c>
      <c r="F359" s="472" t="str">
        <f t="shared" si="10"/>
        <v>FRANCES W KERR MEMORIAL FUND</v>
      </c>
      <c r="G359" s="473">
        <v>39102.82</v>
      </c>
      <c r="H359" s="474">
        <v>2381.86</v>
      </c>
      <c r="I359" s="474">
        <v>-737.3</v>
      </c>
      <c r="J359" s="474">
        <v>3791.88</v>
      </c>
      <c r="K359" s="474">
        <v>0</v>
      </c>
      <c r="L359" s="474">
        <v>0</v>
      </c>
      <c r="M359" s="474">
        <f t="shared" si="11"/>
        <v>44539.259999999995</v>
      </c>
    </row>
    <row r="360" spans="1:13" ht="12.75" outlineLevel="1">
      <c r="A360" s="424" t="s">
        <v>549</v>
      </c>
      <c r="C360" s="471"/>
      <c r="D360" s="471"/>
      <c r="E360" s="460" t="s">
        <v>550</v>
      </c>
      <c r="F360" s="472" t="str">
        <f t="shared" si="10"/>
        <v>LEE ENDOWED SCHOLARSHIP</v>
      </c>
      <c r="G360" s="473">
        <v>30336.57</v>
      </c>
      <c r="H360" s="474">
        <v>7500</v>
      </c>
      <c r="I360" s="474">
        <v>-284.22</v>
      </c>
      <c r="J360" s="474">
        <v>3463.02</v>
      </c>
      <c r="K360" s="474">
        <v>0</v>
      </c>
      <c r="L360" s="474">
        <v>0</v>
      </c>
      <c r="M360" s="474">
        <f t="shared" si="11"/>
        <v>41015.369999999995</v>
      </c>
    </row>
    <row r="361" spans="1:13" ht="12.75" outlineLevel="1">
      <c r="A361" s="424" t="s">
        <v>551</v>
      </c>
      <c r="C361" s="471"/>
      <c r="D361" s="471"/>
      <c r="E361" s="460" t="s">
        <v>552</v>
      </c>
      <c r="F361" s="472" t="str">
        <f t="shared" si="10"/>
        <v>GILBERT R SHOCKLEY ENDOWED SCH</v>
      </c>
      <c r="G361" s="473">
        <v>13597.96</v>
      </c>
      <c r="H361" s="474">
        <v>0</v>
      </c>
      <c r="I361" s="474">
        <v>-261.57</v>
      </c>
      <c r="J361" s="474">
        <v>1324.45</v>
      </c>
      <c r="K361" s="474">
        <v>0</v>
      </c>
      <c r="L361" s="474">
        <v>0</v>
      </c>
      <c r="M361" s="474">
        <f t="shared" si="11"/>
        <v>14660.84</v>
      </c>
    </row>
    <row r="362" spans="1:13" ht="12.75" outlineLevel="1">
      <c r="A362" s="424" t="s">
        <v>553</v>
      </c>
      <c r="C362" s="471"/>
      <c r="D362" s="471"/>
      <c r="E362" s="460" t="s">
        <v>554</v>
      </c>
      <c r="F362" s="472" t="str">
        <f t="shared" si="10"/>
        <v>FARMER ENDOWMENT PETROLEUM</v>
      </c>
      <c r="G362" s="473">
        <v>13531.61</v>
      </c>
      <c r="H362" s="474">
        <v>0</v>
      </c>
      <c r="I362" s="474">
        <v>-260.3</v>
      </c>
      <c r="J362" s="474">
        <v>1318.01</v>
      </c>
      <c r="K362" s="474">
        <v>0</v>
      </c>
      <c r="L362" s="474">
        <v>0</v>
      </c>
      <c r="M362" s="474">
        <f t="shared" si="11"/>
        <v>14589.320000000002</v>
      </c>
    </row>
    <row r="363" spans="1:13" ht="12.75" outlineLevel="1">
      <c r="A363" s="424" t="s">
        <v>555</v>
      </c>
      <c r="C363" s="471"/>
      <c r="D363" s="471"/>
      <c r="E363" s="460" t="s">
        <v>556</v>
      </c>
      <c r="F363" s="472" t="str">
        <f t="shared" si="10"/>
        <v>CADOFF ENDOWED SCHP FUND</v>
      </c>
      <c r="G363" s="473">
        <v>72.82</v>
      </c>
      <c r="H363" s="474">
        <v>1100</v>
      </c>
      <c r="I363" s="474">
        <v>18.66</v>
      </c>
      <c r="J363" s="474">
        <v>31.51</v>
      </c>
      <c r="K363" s="474">
        <v>0</v>
      </c>
      <c r="L363" s="474">
        <v>0</v>
      </c>
      <c r="M363" s="474">
        <f t="shared" si="11"/>
        <v>1222.99</v>
      </c>
    </row>
    <row r="364" spans="1:13" ht="12.75" outlineLevel="1">
      <c r="A364" s="424" t="s">
        <v>557</v>
      </c>
      <c r="C364" s="471"/>
      <c r="D364" s="471"/>
      <c r="E364" s="460" t="s">
        <v>558</v>
      </c>
      <c r="F364" s="472" t="str">
        <f t="shared" si="10"/>
        <v>ANHEUSER-BUSCH ENDOWED SCHP</v>
      </c>
      <c r="G364" s="473">
        <v>231388.86</v>
      </c>
      <c r="H364" s="474">
        <v>0</v>
      </c>
      <c r="I364" s="474">
        <v>-1786.12</v>
      </c>
      <c r="J364" s="474">
        <v>22796.99</v>
      </c>
      <c r="K364" s="474">
        <v>0</v>
      </c>
      <c r="L364" s="474">
        <v>0</v>
      </c>
      <c r="M364" s="474">
        <f t="shared" si="11"/>
        <v>252399.72999999998</v>
      </c>
    </row>
    <row r="365" spans="1:13" ht="12.75" outlineLevel="1">
      <c r="A365" s="424" t="s">
        <v>559</v>
      </c>
      <c r="C365" s="471"/>
      <c r="D365" s="471"/>
      <c r="E365" s="460" t="s">
        <v>560</v>
      </c>
      <c r="F365" s="472" t="str">
        <f t="shared" si="10"/>
        <v>WOODARD SCHOLARS ENDOWMENT</v>
      </c>
      <c r="G365" s="473">
        <v>111190.95</v>
      </c>
      <c r="H365" s="474">
        <v>0</v>
      </c>
      <c r="I365" s="474">
        <v>-2138.93</v>
      </c>
      <c r="J365" s="474">
        <v>10830.3</v>
      </c>
      <c r="K365" s="474">
        <v>0</v>
      </c>
      <c r="L365" s="474">
        <v>0</v>
      </c>
      <c r="M365" s="474">
        <f t="shared" si="11"/>
        <v>119882.32</v>
      </c>
    </row>
    <row r="366" spans="1:13" ht="12.75" outlineLevel="1">
      <c r="A366" s="424" t="s">
        <v>561</v>
      </c>
      <c r="C366" s="471"/>
      <c r="D366" s="471"/>
      <c r="E366" s="460" t="s">
        <v>562</v>
      </c>
      <c r="F366" s="472" t="str">
        <f t="shared" si="10"/>
        <v>MUELLER MANUFACTURING ENGR SCH</v>
      </c>
      <c r="G366" s="473">
        <v>14658.2</v>
      </c>
      <c r="H366" s="474">
        <v>0</v>
      </c>
      <c r="I366" s="474">
        <v>-206.81</v>
      </c>
      <c r="J366" s="474">
        <v>1414.51</v>
      </c>
      <c r="K366" s="474">
        <v>0</v>
      </c>
      <c r="L366" s="474">
        <v>0</v>
      </c>
      <c r="M366" s="474">
        <f t="shared" si="11"/>
        <v>15865.900000000001</v>
      </c>
    </row>
    <row r="367" spans="1:13" ht="12.75" outlineLevel="1">
      <c r="A367" s="424" t="s">
        <v>563</v>
      </c>
      <c r="C367" s="471"/>
      <c r="D367" s="471"/>
      <c r="E367" s="460" t="s">
        <v>564</v>
      </c>
      <c r="F367" s="472" t="str">
        <f t="shared" si="10"/>
        <v>ROBIN R AND PAMELA F MINGO END</v>
      </c>
      <c r="G367" s="473">
        <v>15798.57</v>
      </c>
      <c r="H367" s="474">
        <v>5000</v>
      </c>
      <c r="I367" s="474">
        <v>-111.49</v>
      </c>
      <c r="J367" s="474">
        <v>1642.05</v>
      </c>
      <c r="K367" s="474">
        <v>0</v>
      </c>
      <c r="L367" s="474">
        <v>0</v>
      </c>
      <c r="M367" s="474">
        <f t="shared" si="11"/>
        <v>22329.129999999997</v>
      </c>
    </row>
    <row r="368" spans="1:13" ht="12.75" outlineLevel="1">
      <c r="A368" s="424" t="s">
        <v>565</v>
      </c>
      <c r="C368" s="471"/>
      <c r="D368" s="471"/>
      <c r="E368" s="460" t="s">
        <v>566</v>
      </c>
      <c r="F368" s="472" t="str">
        <f t="shared" si="10"/>
        <v>MATH TEACHER SCHOLARSHIP</v>
      </c>
      <c r="G368" s="473">
        <v>13464.93</v>
      </c>
      <c r="H368" s="474">
        <v>0</v>
      </c>
      <c r="I368" s="474">
        <v>-258.78</v>
      </c>
      <c r="J368" s="474">
        <v>1312.19</v>
      </c>
      <c r="K368" s="474">
        <v>0</v>
      </c>
      <c r="L368" s="474">
        <v>10.18</v>
      </c>
      <c r="M368" s="474">
        <f t="shared" si="11"/>
        <v>14528.52</v>
      </c>
    </row>
    <row r="369" spans="1:13" ht="12.75" outlineLevel="1">
      <c r="A369" s="424" t="s">
        <v>567</v>
      </c>
      <c r="C369" s="471"/>
      <c r="D369" s="471"/>
      <c r="E369" s="460" t="s">
        <v>568</v>
      </c>
      <c r="F369" s="472" t="str">
        <f t="shared" si="10"/>
        <v>STUECK END SCHP FD CIVIL ENGR</v>
      </c>
      <c r="G369" s="473">
        <v>10885.25</v>
      </c>
      <c r="H369" s="474">
        <v>0</v>
      </c>
      <c r="I369" s="474">
        <v>-111.3</v>
      </c>
      <c r="J369" s="474">
        <v>1069.98</v>
      </c>
      <c r="K369" s="474">
        <v>0</v>
      </c>
      <c r="L369" s="474">
        <v>0</v>
      </c>
      <c r="M369" s="474">
        <f t="shared" si="11"/>
        <v>11843.93</v>
      </c>
    </row>
    <row r="370" spans="1:13" ht="12.75" outlineLevel="1">
      <c r="A370" s="424" t="s">
        <v>569</v>
      </c>
      <c r="C370" s="471"/>
      <c r="D370" s="471"/>
      <c r="E370" s="460" t="s">
        <v>570</v>
      </c>
      <c r="F370" s="472" t="str">
        <f t="shared" si="10"/>
        <v>RON ECKELKAMP ENDOWED FELLOW</v>
      </c>
      <c r="G370" s="473">
        <v>16532.8</v>
      </c>
      <c r="H370" s="474">
        <v>3500</v>
      </c>
      <c r="I370" s="474">
        <v>-182.32</v>
      </c>
      <c r="J370" s="474">
        <v>1682.72</v>
      </c>
      <c r="K370" s="474">
        <v>0</v>
      </c>
      <c r="L370" s="474">
        <v>0</v>
      </c>
      <c r="M370" s="474">
        <f t="shared" si="11"/>
        <v>21533.2</v>
      </c>
    </row>
    <row r="371" spans="1:13" ht="12.75" outlineLevel="1">
      <c r="A371" s="424" t="s">
        <v>571</v>
      </c>
      <c r="C371" s="471"/>
      <c r="D371" s="471"/>
      <c r="E371" s="460" t="s">
        <v>572</v>
      </c>
      <c r="F371" s="472" t="str">
        <f t="shared" si="10"/>
        <v>COMP SCI EQUIP END</v>
      </c>
      <c r="G371" s="473">
        <v>4459.32</v>
      </c>
      <c r="H371" s="474">
        <v>268.45</v>
      </c>
      <c r="I371" s="474">
        <v>116.86</v>
      </c>
      <c r="J371" s="474">
        <v>446.57</v>
      </c>
      <c r="K371" s="474">
        <v>0</v>
      </c>
      <c r="L371" s="474">
        <v>0</v>
      </c>
      <c r="M371" s="474">
        <f t="shared" si="11"/>
        <v>5291.199999999999</v>
      </c>
    </row>
    <row r="372" spans="1:13" ht="12.75" outlineLevel="1">
      <c r="A372" s="424" t="s">
        <v>573</v>
      </c>
      <c r="C372" s="471"/>
      <c r="D372" s="471"/>
      <c r="E372" s="460" t="s">
        <v>574</v>
      </c>
      <c r="F372" s="472" t="str">
        <f t="shared" si="10"/>
        <v>MICHAEL D HURST END FELLOWSHIP</v>
      </c>
      <c r="G372" s="473">
        <v>49264.08</v>
      </c>
      <c r="H372" s="474">
        <v>19000</v>
      </c>
      <c r="I372" s="474">
        <v>-125.78</v>
      </c>
      <c r="J372" s="474">
        <v>5520.46</v>
      </c>
      <c r="K372" s="474">
        <v>0</v>
      </c>
      <c r="L372" s="474">
        <v>0</v>
      </c>
      <c r="M372" s="474">
        <f t="shared" si="11"/>
        <v>73658.76000000001</v>
      </c>
    </row>
    <row r="373" spans="1:13" ht="12.75" outlineLevel="1">
      <c r="A373" s="424" t="s">
        <v>575</v>
      </c>
      <c r="C373" s="471"/>
      <c r="D373" s="471"/>
      <c r="E373" s="460" t="s">
        <v>576</v>
      </c>
      <c r="F373" s="472" t="str">
        <f t="shared" si="10"/>
        <v>DOUTHITT SCHOLARS</v>
      </c>
      <c r="G373" s="473">
        <v>4262.6</v>
      </c>
      <c r="H373" s="474">
        <v>2000</v>
      </c>
      <c r="I373" s="474">
        <v>141.01</v>
      </c>
      <c r="J373" s="474">
        <v>466.47</v>
      </c>
      <c r="K373" s="474">
        <v>0</v>
      </c>
      <c r="L373" s="474">
        <v>0</v>
      </c>
      <c r="M373" s="474">
        <f t="shared" si="11"/>
        <v>6870.080000000001</v>
      </c>
    </row>
    <row r="374" spans="1:13" ht="12.75" outlineLevel="1">
      <c r="A374" s="424" t="s">
        <v>577</v>
      </c>
      <c r="C374" s="471"/>
      <c r="D374" s="471"/>
      <c r="E374" s="460" t="s">
        <v>578</v>
      </c>
      <c r="F374" s="472" t="str">
        <f t="shared" si="10"/>
        <v>JOE VESSELL EXCELLENCE FUND</v>
      </c>
      <c r="G374" s="473">
        <v>23338.01</v>
      </c>
      <c r="H374" s="474">
        <v>700</v>
      </c>
      <c r="I374" s="474">
        <v>-418.63</v>
      </c>
      <c r="J374" s="474">
        <v>2320.31</v>
      </c>
      <c r="K374" s="474">
        <v>0</v>
      </c>
      <c r="L374" s="474">
        <v>0</v>
      </c>
      <c r="M374" s="474">
        <f t="shared" si="11"/>
        <v>25939.69</v>
      </c>
    </row>
    <row r="375" spans="1:13" ht="12.75" outlineLevel="1">
      <c r="A375" s="424" t="s">
        <v>579</v>
      </c>
      <c r="C375" s="471"/>
      <c r="D375" s="471"/>
      <c r="E375" s="460" t="s">
        <v>580</v>
      </c>
      <c r="F375" s="472" t="str">
        <f t="shared" si="10"/>
        <v>CLARK/ROBERTS ENDOWED SCHP</v>
      </c>
      <c r="G375" s="473">
        <v>11037.27</v>
      </c>
      <c r="H375" s="474">
        <v>0</v>
      </c>
      <c r="I375" s="474">
        <v>-84.34</v>
      </c>
      <c r="J375" s="474">
        <v>1087.76</v>
      </c>
      <c r="K375" s="474">
        <v>0</v>
      </c>
      <c r="L375" s="474">
        <v>0</v>
      </c>
      <c r="M375" s="474">
        <f t="shared" si="11"/>
        <v>12040.69</v>
      </c>
    </row>
    <row r="376" spans="1:13" ht="12.75" outlineLevel="1">
      <c r="A376" s="424" t="s">
        <v>581</v>
      </c>
      <c r="C376" s="471"/>
      <c r="D376" s="471"/>
      <c r="E376" s="460" t="s">
        <v>582</v>
      </c>
      <c r="F376" s="472" t="str">
        <f t="shared" si="10"/>
        <v>TM ML MCMILLEN SCHOLARSHIP</v>
      </c>
      <c r="G376" s="473">
        <v>4270.81</v>
      </c>
      <c r="H376" s="474">
        <v>2000</v>
      </c>
      <c r="I376" s="474">
        <v>141.24</v>
      </c>
      <c r="J376" s="474">
        <v>466.72</v>
      </c>
      <c r="K376" s="474">
        <v>0</v>
      </c>
      <c r="L376" s="474">
        <v>0</v>
      </c>
      <c r="M376" s="474">
        <f t="shared" si="11"/>
        <v>6878.77</v>
      </c>
    </row>
    <row r="377" spans="1:13" ht="12.75" outlineLevel="1">
      <c r="A377" s="424" t="s">
        <v>583</v>
      </c>
      <c r="C377" s="471"/>
      <c r="D377" s="471"/>
      <c r="E377" s="460" t="s">
        <v>584</v>
      </c>
      <c r="F377" s="472" t="str">
        <f t="shared" si="10"/>
        <v>COMP SCI PROFESSORSHIP</v>
      </c>
      <c r="G377" s="473">
        <v>1131624.12</v>
      </c>
      <c r="H377" s="474">
        <v>13675</v>
      </c>
      <c r="I377" s="474">
        <v>23157.09</v>
      </c>
      <c r="J377" s="474">
        <v>108119.7</v>
      </c>
      <c r="K377" s="474">
        <v>0</v>
      </c>
      <c r="L377" s="474">
        <v>0</v>
      </c>
      <c r="M377" s="474">
        <f t="shared" si="11"/>
        <v>1276575.9100000001</v>
      </c>
    </row>
    <row r="378" spans="1:13" ht="12.75" outlineLevel="1">
      <c r="A378" s="424" t="s">
        <v>585</v>
      </c>
      <c r="C378" s="471"/>
      <c r="D378" s="471"/>
      <c r="E378" s="460" t="s">
        <v>586</v>
      </c>
      <c r="F378" s="472" t="str">
        <f t="shared" si="10"/>
        <v>F PREWITT SR ENDOWED SCHOLARSH</v>
      </c>
      <c r="G378" s="473">
        <v>33990.43</v>
      </c>
      <c r="H378" s="474">
        <v>0</v>
      </c>
      <c r="I378" s="474">
        <v>-653.87</v>
      </c>
      <c r="J378" s="474">
        <v>3310.77</v>
      </c>
      <c r="K378" s="474">
        <v>0</v>
      </c>
      <c r="L378" s="474">
        <v>0</v>
      </c>
      <c r="M378" s="474">
        <f t="shared" si="11"/>
        <v>36647.329999999994</v>
      </c>
    </row>
    <row r="379" spans="1:13" ht="12.75" outlineLevel="1">
      <c r="A379" s="424" t="s">
        <v>587</v>
      </c>
      <c r="C379" s="471"/>
      <c r="D379" s="471"/>
      <c r="E379" s="460" t="s">
        <v>588</v>
      </c>
      <c r="F379" s="472" t="str">
        <f t="shared" si="10"/>
        <v>NEVINS FUND</v>
      </c>
      <c r="G379" s="473">
        <v>285025.33</v>
      </c>
      <c r="H379" s="474">
        <v>0</v>
      </c>
      <c r="I379" s="474">
        <v>-5332.27</v>
      </c>
      <c r="J379" s="474">
        <v>23484.56</v>
      </c>
      <c r="K379" s="474">
        <v>0</v>
      </c>
      <c r="L379" s="474">
        <v>0</v>
      </c>
      <c r="M379" s="474">
        <f t="shared" si="11"/>
        <v>303177.62</v>
      </c>
    </row>
    <row r="380" spans="1:13" ht="12.75" outlineLevel="1">
      <c r="A380" s="424" t="s">
        <v>589</v>
      </c>
      <c r="C380" s="471"/>
      <c r="D380" s="471"/>
      <c r="E380" s="460" t="s">
        <v>590</v>
      </c>
      <c r="F380" s="472" t="str">
        <f t="shared" si="10"/>
        <v>KOVAL SCHOLARSHIP</v>
      </c>
      <c r="G380" s="473">
        <v>0</v>
      </c>
      <c r="H380" s="474">
        <v>0</v>
      </c>
      <c r="I380" s="474">
        <v>263.86</v>
      </c>
      <c r="J380" s="474">
        <v>717.67</v>
      </c>
      <c r="K380" s="474">
        <v>0</v>
      </c>
      <c r="L380" s="474">
        <v>11278.02</v>
      </c>
      <c r="M380" s="474">
        <f t="shared" si="11"/>
        <v>12259.550000000001</v>
      </c>
    </row>
    <row r="381" spans="1:13" ht="12.75" outlineLevel="1">
      <c r="A381" s="424" t="s">
        <v>591</v>
      </c>
      <c r="C381" s="471"/>
      <c r="D381" s="471"/>
      <c r="E381" s="460" t="s">
        <v>592</v>
      </c>
      <c r="F381" s="472" t="str">
        <f t="shared" si="10"/>
        <v>LOVERIDGE FAMILY SCHOLARSHIP</v>
      </c>
      <c r="G381" s="473">
        <v>105858.95</v>
      </c>
      <c r="H381" s="474">
        <v>0</v>
      </c>
      <c r="I381" s="474">
        <v>-1080.43</v>
      </c>
      <c r="J381" s="474">
        <v>10405.82</v>
      </c>
      <c r="K381" s="474">
        <v>0</v>
      </c>
      <c r="L381" s="474">
        <v>0</v>
      </c>
      <c r="M381" s="474">
        <f t="shared" si="11"/>
        <v>115184.34</v>
      </c>
    </row>
    <row r="382" spans="1:13" ht="12.75" outlineLevel="1">
      <c r="A382" s="424" t="s">
        <v>593</v>
      </c>
      <c r="C382" s="471"/>
      <c r="D382" s="471"/>
      <c r="E382" s="460" t="s">
        <v>594</v>
      </c>
      <c r="F382" s="472" t="str">
        <f t="shared" si="10"/>
        <v>WOODARD ENDOWED SCHOLARSHIP</v>
      </c>
      <c r="G382" s="473">
        <v>41027.83</v>
      </c>
      <c r="H382" s="474">
        <v>39000</v>
      </c>
      <c r="I382" s="474">
        <v>959.36</v>
      </c>
      <c r="J382" s="474">
        <v>3859.06</v>
      </c>
      <c r="K382" s="474">
        <v>0</v>
      </c>
      <c r="L382" s="474">
        <v>0</v>
      </c>
      <c r="M382" s="474">
        <f t="shared" si="11"/>
        <v>84846.25</v>
      </c>
    </row>
    <row r="383" spans="1:13" ht="12.75" outlineLevel="1">
      <c r="A383" s="424" t="s">
        <v>595</v>
      </c>
      <c r="C383" s="471"/>
      <c r="D383" s="471"/>
      <c r="E383" s="460" t="s">
        <v>596</v>
      </c>
      <c r="F383" s="472" t="str">
        <f t="shared" si="10"/>
        <v>KENT WEISENSTEIN SCHOLARSHIP</v>
      </c>
      <c r="G383" s="473">
        <v>39968.13</v>
      </c>
      <c r="H383" s="474">
        <v>0</v>
      </c>
      <c r="I383" s="474">
        <v>-42.51</v>
      </c>
      <c r="J383" s="474">
        <v>3965.16</v>
      </c>
      <c r="K383" s="474">
        <v>0</v>
      </c>
      <c r="L383" s="474">
        <v>0</v>
      </c>
      <c r="M383" s="474">
        <f t="shared" si="11"/>
        <v>43890.78</v>
      </c>
    </row>
    <row r="384" spans="1:13" ht="12.75" outlineLevel="1">
      <c r="A384" s="424" t="s">
        <v>597</v>
      </c>
      <c r="C384" s="471"/>
      <c r="D384" s="471"/>
      <c r="E384" s="460" t="s">
        <v>598</v>
      </c>
      <c r="F384" s="472" t="str">
        <f t="shared" si="10"/>
        <v>WALTENSPIEL SCHOLARSHIP</v>
      </c>
      <c r="G384" s="473">
        <v>0</v>
      </c>
      <c r="H384" s="474">
        <v>0</v>
      </c>
      <c r="I384" s="474">
        <v>282.8</v>
      </c>
      <c r="J384" s="474">
        <v>772.86</v>
      </c>
      <c r="K384" s="474">
        <v>0</v>
      </c>
      <c r="L384" s="474">
        <v>11787.24</v>
      </c>
      <c r="M384" s="474">
        <f t="shared" si="11"/>
        <v>12842.9</v>
      </c>
    </row>
    <row r="385" spans="1:13" ht="12.75" outlineLevel="1">
      <c r="A385" s="424" t="s">
        <v>599</v>
      </c>
      <c r="C385" s="471"/>
      <c r="D385" s="471"/>
      <c r="E385" s="460" t="s">
        <v>600</v>
      </c>
      <c r="F385" s="472" t="str">
        <f t="shared" si="10"/>
        <v>RAO ENDOWED SCHOLARSHIP</v>
      </c>
      <c r="G385" s="473">
        <v>10284.52</v>
      </c>
      <c r="H385" s="474">
        <v>25</v>
      </c>
      <c r="I385" s="474">
        <v>50.08</v>
      </c>
      <c r="J385" s="474">
        <v>1025.76</v>
      </c>
      <c r="K385" s="474">
        <v>0</v>
      </c>
      <c r="L385" s="474">
        <v>0</v>
      </c>
      <c r="M385" s="474">
        <f t="shared" si="11"/>
        <v>11385.36</v>
      </c>
    </row>
    <row r="386" spans="1:13" ht="12.75" outlineLevel="1">
      <c r="A386" s="424" t="s">
        <v>601</v>
      </c>
      <c r="C386" s="471"/>
      <c r="D386" s="471"/>
      <c r="E386" s="460" t="s">
        <v>602</v>
      </c>
      <c r="F386" s="472" t="str">
        <f t="shared" si="10"/>
        <v>BIO SCI RESEARCH ENDOWMENT</v>
      </c>
      <c r="G386" s="473">
        <v>11887.99</v>
      </c>
      <c r="H386" s="474">
        <v>1150</v>
      </c>
      <c r="I386" s="474">
        <v>319.86</v>
      </c>
      <c r="J386" s="474">
        <v>1141.81</v>
      </c>
      <c r="K386" s="474">
        <v>0</v>
      </c>
      <c r="L386" s="474">
        <v>3233.75</v>
      </c>
      <c r="M386" s="474">
        <f t="shared" si="11"/>
        <v>17733.41</v>
      </c>
    </row>
    <row r="387" spans="1:13" ht="12.75" outlineLevel="1">
      <c r="A387" s="424" t="s">
        <v>603</v>
      </c>
      <c r="C387" s="471"/>
      <c r="D387" s="471"/>
      <c r="E387" s="460" t="s">
        <v>604</v>
      </c>
      <c r="F387" s="472" t="str">
        <f t="shared" si="10"/>
        <v>BUD MERCIER END SCHOLARSHIP</v>
      </c>
      <c r="G387" s="473">
        <v>2074.74</v>
      </c>
      <c r="H387" s="474">
        <v>0</v>
      </c>
      <c r="I387" s="474">
        <v>52.73</v>
      </c>
      <c r="J387" s="474">
        <v>207.57</v>
      </c>
      <c r="K387" s="474">
        <v>0</v>
      </c>
      <c r="L387" s="474">
        <v>0</v>
      </c>
      <c r="M387" s="474">
        <f t="shared" si="11"/>
        <v>2335.04</v>
      </c>
    </row>
    <row r="388" spans="1:13" ht="12.75" outlineLevel="1">
      <c r="A388" s="424" t="s">
        <v>605</v>
      </c>
      <c r="C388" s="471"/>
      <c r="D388" s="471"/>
      <c r="E388" s="460" t="s">
        <v>606</v>
      </c>
      <c r="F388" s="472" t="str">
        <f t="shared" si="10"/>
        <v>SUMMERS ENDOWED SCHOLARSHIP</v>
      </c>
      <c r="G388" s="473">
        <v>32510.79</v>
      </c>
      <c r="H388" s="474">
        <v>0</v>
      </c>
      <c r="I388" s="474">
        <v>-152.89</v>
      </c>
      <c r="J388" s="474">
        <v>3213.56</v>
      </c>
      <c r="K388" s="474">
        <v>0</v>
      </c>
      <c r="L388" s="474">
        <v>0</v>
      </c>
      <c r="M388" s="474">
        <f t="shared" si="11"/>
        <v>35571.46</v>
      </c>
    </row>
    <row r="389" spans="1:13" ht="12.75" outlineLevel="1">
      <c r="A389" s="424" t="s">
        <v>607</v>
      </c>
      <c r="C389" s="471"/>
      <c r="D389" s="471"/>
      <c r="E389" s="460" t="s">
        <v>608</v>
      </c>
      <c r="F389" s="472" t="str">
        <f t="shared" si="10"/>
        <v>DEKOCK ENDOWED SCHOLARSHIP</v>
      </c>
      <c r="G389" s="473">
        <v>30741.65</v>
      </c>
      <c r="H389" s="474">
        <v>0</v>
      </c>
      <c r="I389" s="474">
        <v>23.23</v>
      </c>
      <c r="J389" s="474">
        <v>3055.36</v>
      </c>
      <c r="K389" s="474">
        <v>0</v>
      </c>
      <c r="L389" s="474">
        <v>0</v>
      </c>
      <c r="M389" s="474">
        <f t="shared" si="11"/>
        <v>33820.24</v>
      </c>
    </row>
    <row r="390" spans="1:13" ht="12.75" outlineLevel="1">
      <c r="A390" s="424" t="s">
        <v>609</v>
      </c>
      <c r="C390" s="471"/>
      <c r="D390" s="471"/>
      <c r="E390" s="460" t="s">
        <v>610</v>
      </c>
      <c r="F390" s="472" t="str">
        <f t="shared" si="10"/>
        <v>HANKINSON ENDOWED SCHOLARSHIP</v>
      </c>
      <c r="G390" s="473">
        <v>15038.01</v>
      </c>
      <c r="H390" s="474">
        <v>0</v>
      </c>
      <c r="I390" s="474">
        <v>169.36</v>
      </c>
      <c r="J390" s="474">
        <v>1510.28</v>
      </c>
      <c r="K390" s="474">
        <v>0</v>
      </c>
      <c r="L390" s="474">
        <v>0</v>
      </c>
      <c r="M390" s="474">
        <f t="shared" si="11"/>
        <v>16717.65</v>
      </c>
    </row>
    <row r="391" spans="1:13" ht="12.75" outlineLevel="1">
      <c r="A391" s="424" t="s">
        <v>611</v>
      </c>
      <c r="C391" s="471"/>
      <c r="D391" s="471"/>
      <c r="E391" s="460" t="s">
        <v>612</v>
      </c>
      <c r="F391" s="472" t="str">
        <f t="shared" si="10"/>
        <v>R TAYLOR ENDOWED SCHOLARSHIP</v>
      </c>
      <c r="G391" s="473">
        <v>11414.29</v>
      </c>
      <c r="H391" s="474">
        <v>0</v>
      </c>
      <c r="I391" s="474">
        <v>-619.65</v>
      </c>
      <c r="J391" s="474">
        <v>2163.33</v>
      </c>
      <c r="K391" s="474">
        <v>0</v>
      </c>
      <c r="L391" s="474">
        <v>0</v>
      </c>
      <c r="M391" s="474">
        <f t="shared" si="11"/>
        <v>12957.970000000001</v>
      </c>
    </row>
    <row r="392" spans="1:13" ht="12.75" outlineLevel="1">
      <c r="A392" s="424" t="s">
        <v>613</v>
      </c>
      <c r="C392" s="471"/>
      <c r="D392" s="471"/>
      <c r="E392" s="460" t="s">
        <v>614</v>
      </c>
      <c r="F392" s="445" t="str">
        <f t="shared" si="10"/>
        <v>J A PIKA SCHOLARSHIP</v>
      </c>
      <c r="G392" s="521">
        <v>30798.04</v>
      </c>
      <c r="H392" s="474">
        <v>0</v>
      </c>
      <c r="I392" s="474">
        <v>194.92</v>
      </c>
      <c r="J392" s="474">
        <v>3078.03</v>
      </c>
      <c r="K392" s="474">
        <v>0</v>
      </c>
      <c r="L392" s="474">
        <v>0</v>
      </c>
      <c r="M392" s="474">
        <f t="shared" si="11"/>
        <v>34070.99</v>
      </c>
    </row>
    <row r="393" spans="1:13" ht="12.75" outlineLevel="1">
      <c r="A393" s="424" t="s">
        <v>615</v>
      </c>
      <c r="C393" s="471"/>
      <c r="D393" s="471"/>
      <c r="E393" s="460" t="s">
        <v>616</v>
      </c>
      <c r="F393" s="445" t="str">
        <f t="shared" si="10"/>
        <v>WEISE KAPPA ALPHA SCHOLARSHIP</v>
      </c>
      <c r="G393" s="521">
        <v>30212.45</v>
      </c>
      <c r="H393" s="474">
        <v>0</v>
      </c>
      <c r="I393" s="474">
        <v>303.81</v>
      </c>
      <c r="J393" s="474">
        <v>3030.67</v>
      </c>
      <c r="K393" s="474">
        <v>0</v>
      </c>
      <c r="L393" s="474">
        <v>0</v>
      </c>
      <c r="M393" s="474">
        <f t="shared" si="11"/>
        <v>33546.93</v>
      </c>
    </row>
    <row r="394" spans="1:13" ht="12.75" outlineLevel="1">
      <c r="A394" s="424" t="s">
        <v>617</v>
      </c>
      <c r="C394" s="471"/>
      <c r="D394" s="471"/>
      <c r="E394" s="460" t="s">
        <v>618</v>
      </c>
      <c r="F394" s="472" t="str">
        <f t="shared" si="10"/>
        <v>GLADBACH ENDOWED SCHOLARSHIP</v>
      </c>
      <c r="G394" s="473">
        <v>30488.35</v>
      </c>
      <c r="H394" s="474">
        <v>0</v>
      </c>
      <c r="I394" s="474">
        <v>249.23</v>
      </c>
      <c r="J394" s="474">
        <v>3052.64</v>
      </c>
      <c r="K394" s="474">
        <v>0</v>
      </c>
      <c r="L394" s="474">
        <v>0</v>
      </c>
      <c r="M394" s="474">
        <f t="shared" si="11"/>
        <v>33790.22</v>
      </c>
    </row>
    <row r="395" spans="1:13" ht="12.75" outlineLevel="1">
      <c r="A395" s="424" t="s">
        <v>619</v>
      </c>
      <c r="C395" s="471"/>
      <c r="D395" s="471"/>
      <c r="E395" s="460" t="s">
        <v>620</v>
      </c>
      <c r="F395" s="472" t="str">
        <f aca="true" t="shared" si="12" ref="F395:F458">UPPER(E395)</f>
        <v>J WOLF BETA ALPHA/KAPPA ALPHA</v>
      </c>
      <c r="G395" s="473">
        <v>36686.63</v>
      </c>
      <c r="H395" s="474">
        <v>0</v>
      </c>
      <c r="I395" s="474">
        <v>292.02</v>
      </c>
      <c r="J395" s="474">
        <v>3373.78</v>
      </c>
      <c r="K395" s="474">
        <v>0</v>
      </c>
      <c r="L395" s="474">
        <v>-3000</v>
      </c>
      <c r="M395" s="474">
        <f aca="true" t="shared" si="13" ref="M395:M458">G395+H395+I395+J395-K395+L395</f>
        <v>37352.42999999999</v>
      </c>
    </row>
    <row r="396" spans="1:13" ht="12.75" outlineLevel="1">
      <c r="A396" s="424" t="s">
        <v>621</v>
      </c>
      <c r="C396" s="471"/>
      <c r="D396" s="471"/>
      <c r="E396" s="460" t="s">
        <v>622</v>
      </c>
      <c r="F396" s="472" t="str">
        <f t="shared" si="12"/>
        <v>MARY LOU CASTLEMAN ENDOWED SCH</v>
      </c>
      <c r="G396" s="473">
        <v>30505.41</v>
      </c>
      <c r="H396" s="474">
        <v>0</v>
      </c>
      <c r="I396" s="474">
        <v>265.68</v>
      </c>
      <c r="J396" s="474">
        <v>3142.71</v>
      </c>
      <c r="K396" s="474">
        <v>0</v>
      </c>
      <c r="L396" s="474">
        <v>0</v>
      </c>
      <c r="M396" s="474">
        <f t="shared" si="13"/>
        <v>33913.8</v>
      </c>
    </row>
    <row r="397" spans="1:13" ht="12.75" outlineLevel="1">
      <c r="A397" s="424" t="s">
        <v>623</v>
      </c>
      <c r="C397" s="471"/>
      <c r="D397" s="471"/>
      <c r="E397" s="460" t="s">
        <v>624</v>
      </c>
      <c r="F397" s="472" t="str">
        <f t="shared" si="12"/>
        <v>KAPPA ALPHA ORDER SCH ACCESS-A</v>
      </c>
      <c r="G397" s="473">
        <v>31663.14</v>
      </c>
      <c r="H397" s="474">
        <v>0</v>
      </c>
      <c r="I397" s="474">
        <v>272.36</v>
      </c>
      <c r="J397" s="474">
        <v>3171.26</v>
      </c>
      <c r="K397" s="474">
        <v>0</v>
      </c>
      <c r="L397" s="474">
        <v>0</v>
      </c>
      <c r="M397" s="474">
        <f t="shared" si="13"/>
        <v>35106.76</v>
      </c>
    </row>
    <row r="398" spans="1:13" ht="12.75" outlineLevel="1">
      <c r="A398" s="424" t="s">
        <v>625</v>
      </c>
      <c r="C398" s="471"/>
      <c r="D398" s="471"/>
      <c r="E398" s="460" t="s">
        <v>626</v>
      </c>
      <c r="F398" s="472" t="str">
        <f t="shared" si="12"/>
        <v>ALUMNI ASSOC NEED BASED ENDOWE</v>
      </c>
      <c r="G398" s="473">
        <v>90587.2</v>
      </c>
      <c r="H398" s="474">
        <v>0</v>
      </c>
      <c r="I398" s="474">
        <v>910.92</v>
      </c>
      <c r="J398" s="474">
        <v>9086.97</v>
      </c>
      <c r="K398" s="474">
        <v>0</v>
      </c>
      <c r="L398" s="474">
        <v>0</v>
      </c>
      <c r="M398" s="474">
        <f t="shared" si="13"/>
        <v>100585.09</v>
      </c>
    </row>
    <row r="399" spans="1:13" ht="12.75" outlineLevel="1">
      <c r="A399" s="424" t="s">
        <v>2683</v>
      </c>
      <c r="C399" s="471"/>
      <c r="D399" s="471"/>
      <c r="E399" s="460" t="s">
        <v>2684</v>
      </c>
      <c r="F399" s="472" t="str">
        <f t="shared" si="12"/>
        <v>WEISE SCHOLARSHIP FOR ACADEMIC</v>
      </c>
      <c r="G399" s="473">
        <v>30212.45</v>
      </c>
      <c r="H399" s="474">
        <v>0</v>
      </c>
      <c r="I399" s="474">
        <v>303.81</v>
      </c>
      <c r="J399" s="474">
        <v>3030.67</v>
      </c>
      <c r="K399" s="474">
        <v>0</v>
      </c>
      <c r="L399" s="474">
        <v>0</v>
      </c>
      <c r="M399" s="474">
        <f t="shared" si="13"/>
        <v>33546.93</v>
      </c>
    </row>
    <row r="400" spans="1:13" ht="12.75" outlineLevel="1">
      <c r="A400" s="424" t="s">
        <v>2685</v>
      </c>
      <c r="C400" s="471"/>
      <c r="D400" s="471"/>
      <c r="E400" s="460" t="s">
        <v>2686</v>
      </c>
      <c r="F400" s="472" t="str">
        <f t="shared" si="12"/>
        <v>2005 ACAD OF CE ENDOWED SCHOL</v>
      </c>
      <c r="G400" s="473">
        <v>60400.04</v>
      </c>
      <c r="H400" s="474">
        <v>1000</v>
      </c>
      <c r="I400" s="474">
        <v>1102.09</v>
      </c>
      <c r="J400" s="474">
        <v>5333.63</v>
      </c>
      <c r="K400" s="474">
        <v>0</v>
      </c>
      <c r="L400" s="474">
        <v>0</v>
      </c>
      <c r="M400" s="474">
        <f t="shared" si="13"/>
        <v>67835.76</v>
      </c>
    </row>
    <row r="401" spans="1:13" ht="12.75" outlineLevel="1">
      <c r="A401" s="424" t="s">
        <v>2687</v>
      </c>
      <c r="C401" s="471"/>
      <c r="D401" s="471"/>
      <c r="E401" s="460" t="s">
        <v>2688</v>
      </c>
      <c r="F401" s="472" t="str">
        <f t="shared" si="12"/>
        <v>SPENCE KA&amp;KD ENDOWED SCHOL</v>
      </c>
      <c r="G401" s="473">
        <v>30139</v>
      </c>
      <c r="H401" s="474">
        <v>912.26</v>
      </c>
      <c r="I401" s="474">
        <v>173.83</v>
      </c>
      <c r="J401" s="474">
        <v>1580.66</v>
      </c>
      <c r="K401" s="474">
        <v>0</v>
      </c>
      <c r="L401" s="474">
        <v>0</v>
      </c>
      <c r="M401" s="474">
        <f t="shared" si="13"/>
        <v>32805.75</v>
      </c>
    </row>
    <row r="402" spans="1:13" ht="12.75" outlineLevel="1">
      <c r="A402" s="424" t="s">
        <v>2689</v>
      </c>
      <c r="C402" s="471"/>
      <c r="D402" s="471"/>
      <c r="E402" s="460" t="s">
        <v>2690</v>
      </c>
      <c r="F402" s="472" t="str">
        <f t="shared" si="12"/>
        <v>GALE-HUFHAM ENDOWED SCHOLARSHI</v>
      </c>
      <c r="G402" s="473">
        <v>34953.27</v>
      </c>
      <c r="H402" s="474">
        <v>2776</v>
      </c>
      <c r="I402" s="474">
        <v>739.22</v>
      </c>
      <c r="J402" s="474">
        <v>3526.27</v>
      </c>
      <c r="K402" s="474">
        <v>0</v>
      </c>
      <c r="L402" s="474">
        <v>0</v>
      </c>
      <c r="M402" s="474">
        <f t="shared" si="13"/>
        <v>41994.759999999995</v>
      </c>
    </row>
    <row r="403" spans="1:13" ht="12.75" outlineLevel="1">
      <c r="A403" s="424" t="s">
        <v>2691</v>
      </c>
      <c r="C403" s="471"/>
      <c r="D403" s="471"/>
      <c r="E403" s="460" t="s">
        <v>2692</v>
      </c>
      <c r="F403" s="472" t="str">
        <f t="shared" si="12"/>
        <v>MCGOVERN ENDOWED SCHOLARSHIP</v>
      </c>
      <c r="G403" s="473">
        <v>30192.74</v>
      </c>
      <c r="H403" s="474">
        <v>1100</v>
      </c>
      <c r="I403" s="474">
        <v>305.49</v>
      </c>
      <c r="J403" s="474">
        <v>3020.88</v>
      </c>
      <c r="K403" s="474">
        <v>0</v>
      </c>
      <c r="L403" s="474">
        <v>0</v>
      </c>
      <c r="M403" s="474">
        <f t="shared" si="13"/>
        <v>34619.11</v>
      </c>
    </row>
    <row r="404" spans="1:13" ht="12.75" outlineLevel="1">
      <c r="A404" s="424" t="s">
        <v>2693</v>
      </c>
      <c r="C404" s="471"/>
      <c r="D404" s="471"/>
      <c r="E404" s="460" t="s">
        <v>2694</v>
      </c>
      <c r="F404" s="472" t="str">
        <f t="shared" si="12"/>
        <v>AECE ENDOWMENT FUND</v>
      </c>
      <c r="G404" s="473">
        <v>92332.75</v>
      </c>
      <c r="H404" s="474">
        <v>3342.21</v>
      </c>
      <c r="I404" s="474">
        <v>2045.88</v>
      </c>
      <c r="J404" s="474">
        <v>8827.84</v>
      </c>
      <c r="K404" s="474">
        <v>0</v>
      </c>
      <c r="L404" s="474">
        <v>0</v>
      </c>
      <c r="M404" s="474">
        <f t="shared" si="13"/>
        <v>106548.68000000001</v>
      </c>
    </row>
    <row r="405" spans="1:13" ht="12.75" outlineLevel="1">
      <c r="A405" s="424" t="s">
        <v>2695</v>
      </c>
      <c r="C405" s="471"/>
      <c r="D405" s="471"/>
      <c r="E405" s="460" t="s">
        <v>2696</v>
      </c>
      <c r="F405" s="472" t="str">
        <f t="shared" si="12"/>
        <v>RW ABBETT ENDOWED CHAIR CE</v>
      </c>
      <c r="G405" s="473">
        <v>0</v>
      </c>
      <c r="H405" s="474">
        <v>0</v>
      </c>
      <c r="I405" s="474">
        <v>10004.73</v>
      </c>
      <c r="J405" s="474">
        <v>-18771.4</v>
      </c>
      <c r="K405" s="474">
        <v>0</v>
      </c>
      <c r="L405" s="474">
        <v>1566035.87</v>
      </c>
      <c r="M405" s="474">
        <f t="shared" si="13"/>
        <v>1557269.2000000002</v>
      </c>
    </row>
    <row r="406" spans="1:13" ht="12.75" outlineLevel="1">
      <c r="A406" s="424" t="s">
        <v>2697</v>
      </c>
      <c r="C406" s="471"/>
      <c r="D406" s="471"/>
      <c r="E406" s="460" t="s">
        <v>2698</v>
      </c>
      <c r="F406" s="472" t="str">
        <f t="shared" si="12"/>
        <v>RON&amp;JANICE MILLER ENDOWED</v>
      </c>
      <c r="G406" s="473">
        <v>5197.42</v>
      </c>
      <c r="H406" s="474">
        <v>18316.8</v>
      </c>
      <c r="I406" s="474">
        <v>849.96</v>
      </c>
      <c r="J406" s="474">
        <v>2473.65</v>
      </c>
      <c r="K406" s="474">
        <v>0</v>
      </c>
      <c r="L406" s="474">
        <v>15000</v>
      </c>
      <c r="M406" s="474">
        <f t="shared" si="13"/>
        <v>41837.83</v>
      </c>
    </row>
    <row r="407" spans="1:13" ht="12.75" outlineLevel="1">
      <c r="A407" s="424" t="s">
        <v>2699</v>
      </c>
      <c r="C407" s="471"/>
      <c r="D407" s="471"/>
      <c r="E407" s="460" t="s">
        <v>2700</v>
      </c>
      <c r="F407" s="472" t="str">
        <f t="shared" si="12"/>
        <v>UNNERSTALL ENDOWED</v>
      </c>
      <c r="G407" s="473">
        <v>30650.46</v>
      </c>
      <c r="H407" s="474">
        <v>0</v>
      </c>
      <c r="I407" s="474">
        <v>422.96</v>
      </c>
      <c r="J407" s="474">
        <v>3086.01</v>
      </c>
      <c r="K407" s="474">
        <v>0</v>
      </c>
      <c r="L407" s="474">
        <v>0</v>
      </c>
      <c r="M407" s="474">
        <f t="shared" si="13"/>
        <v>34159.43</v>
      </c>
    </row>
    <row r="408" spans="1:13" ht="12.75" outlineLevel="1">
      <c r="A408" s="424" t="s">
        <v>2701</v>
      </c>
      <c r="C408" s="471"/>
      <c r="D408" s="471"/>
      <c r="E408" s="460" t="s">
        <v>2702</v>
      </c>
      <c r="F408" s="472" t="str">
        <f t="shared" si="12"/>
        <v>SCHUSTER ENDOWED SCHOLARSHIP</v>
      </c>
      <c r="G408" s="473">
        <v>121660.2</v>
      </c>
      <c r="H408" s="474">
        <v>0</v>
      </c>
      <c r="I408" s="474">
        <v>2609.74</v>
      </c>
      <c r="J408" s="474">
        <v>12328.22</v>
      </c>
      <c r="K408" s="474">
        <v>0</v>
      </c>
      <c r="L408" s="474">
        <v>0</v>
      </c>
      <c r="M408" s="474">
        <f t="shared" si="13"/>
        <v>136598.16</v>
      </c>
    </row>
    <row r="409" spans="1:13" ht="12.75" outlineLevel="1">
      <c r="A409" s="424" t="s">
        <v>2703</v>
      </c>
      <c r="C409" s="471"/>
      <c r="D409" s="471"/>
      <c r="E409" s="460" t="s">
        <v>2704</v>
      </c>
      <c r="F409" s="472" t="str">
        <f t="shared" si="12"/>
        <v>ST LOUIS AREA ENDOWED</v>
      </c>
      <c r="G409" s="473">
        <v>30399.53</v>
      </c>
      <c r="H409" s="474">
        <v>0</v>
      </c>
      <c r="I409" s="474">
        <v>683.48</v>
      </c>
      <c r="J409" s="474">
        <v>3082.49</v>
      </c>
      <c r="K409" s="474">
        <v>0</v>
      </c>
      <c r="L409" s="474">
        <v>0</v>
      </c>
      <c r="M409" s="474">
        <f t="shared" si="13"/>
        <v>34165.5</v>
      </c>
    </row>
    <row r="410" spans="1:13" ht="12.75" outlineLevel="1">
      <c r="A410" s="424" t="s">
        <v>2705</v>
      </c>
      <c r="C410" s="471"/>
      <c r="D410" s="471"/>
      <c r="E410" s="460" t="s">
        <v>2706</v>
      </c>
      <c r="F410" s="472" t="str">
        <f t="shared" si="12"/>
        <v>VITEK CHAIR IN BIOCH</v>
      </c>
      <c r="G410" s="473">
        <v>1411888.95</v>
      </c>
      <c r="H410" s="474">
        <v>10050</v>
      </c>
      <c r="I410" s="474">
        <v>30131.72</v>
      </c>
      <c r="J410" s="474">
        <v>128496.27</v>
      </c>
      <c r="K410" s="474">
        <v>0</v>
      </c>
      <c r="L410" s="474">
        <v>0</v>
      </c>
      <c r="M410" s="474">
        <f t="shared" si="13"/>
        <v>1580566.94</v>
      </c>
    </row>
    <row r="411" spans="1:13" ht="12.75" outlineLevel="1">
      <c r="A411" s="424" t="s">
        <v>2707</v>
      </c>
      <c r="C411" s="471"/>
      <c r="D411" s="471"/>
      <c r="E411" s="460" t="s">
        <v>2708</v>
      </c>
      <c r="F411" s="472" t="str">
        <f t="shared" si="12"/>
        <v>DONALD&amp;ALWILDA P MATHEWS END-A</v>
      </c>
      <c r="G411" s="473">
        <v>506659.11</v>
      </c>
      <c r="H411" s="474">
        <v>0</v>
      </c>
      <c r="I411" s="474">
        <v>16448.31</v>
      </c>
      <c r="J411" s="474">
        <v>51698.84</v>
      </c>
      <c r="K411" s="474">
        <v>0</v>
      </c>
      <c r="L411" s="474">
        <v>0</v>
      </c>
      <c r="M411" s="474">
        <f t="shared" si="13"/>
        <v>574806.26</v>
      </c>
    </row>
    <row r="412" spans="1:13" ht="12.75" outlineLevel="1">
      <c r="A412" s="424" t="s">
        <v>2709</v>
      </c>
      <c r="C412" s="471"/>
      <c r="D412" s="471"/>
      <c r="E412" s="460" t="s">
        <v>2710</v>
      </c>
      <c r="F412" s="472" t="str">
        <f t="shared" si="12"/>
        <v>DONALD&amp;ALWILDA P MATHEWS END-B</v>
      </c>
      <c r="G412" s="473">
        <v>253329.55</v>
      </c>
      <c r="H412" s="474">
        <v>5000</v>
      </c>
      <c r="I412" s="474">
        <v>5505.33</v>
      </c>
      <c r="J412" s="474">
        <v>25556.64</v>
      </c>
      <c r="K412" s="474">
        <v>0</v>
      </c>
      <c r="L412" s="474">
        <v>0</v>
      </c>
      <c r="M412" s="474">
        <f t="shared" si="13"/>
        <v>289391.52</v>
      </c>
    </row>
    <row r="413" spans="1:13" ht="12.75" outlineLevel="1">
      <c r="A413" s="424" t="s">
        <v>2711</v>
      </c>
      <c r="C413" s="471"/>
      <c r="D413" s="471"/>
      <c r="E413" s="460" t="s">
        <v>2712</v>
      </c>
      <c r="F413" s="472" t="str">
        <f t="shared" si="12"/>
        <v>OLGA E&amp;HERBERT HOFFMAN ENDOWED</v>
      </c>
      <c r="G413" s="473">
        <v>12643.33</v>
      </c>
      <c r="H413" s="474">
        <v>2500</v>
      </c>
      <c r="I413" s="474">
        <v>655.38</v>
      </c>
      <c r="J413" s="474">
        <v>2300.45</v>
      </c>
      <c r="K413" s="474">
        <v>0</v>
      </c>
      <c r="L413" s="474">
        <v>15000</v>
      </c>
      <c r="M413" s="474">
        <f t="shared" si="13"/>
        <v>33099.16</v>
      </c>
    </row>
    <row r="414" spans="1:13" ht="12.75" outlineLevel="1">
      <c r="A414" s="424" t="s">
        <v>2713</v>
      </c>
      <c r="C414" s="471"/>
      <c r="D414" s="471"/>
      <c r="E414" s="460" t="s">
        <v>2714</v>
      </c>
      <c r="F414" s="472" t="str">
        <f t="shared" si="12"/>
        <v>PHELPS COUNTY BANK ENDOWED SCH</v>
      </c>
      <c r="G414" s="473">
        <v>30399.53</v>
      </c>
      <c r="H414" s="474">
        <v>0</v>
      </c>
      <c r="I414" s="474">
        <v>652.16</v>
      </c>
      <c r="J414" s="474">
        <v>3080.49</v>
      </c>
      <c r="K414" s="474">
        <v>0</v>
      </c>
      <c r="L414" s="474">
        <v>0</v>
      </c>
      <c r="M414" s="474">
        <f t="shared" si="13"/>
        <v>34132.18</v>
      </c>
    </row>
    <row r="415" spans="1:13" ht="12.75" outlineLevel="1">
      <c r="A415" s="424" t="s">
        <v>2715</v>
      </c>
      <c r="C415" s="471"/>
      <c r="D415" s="471"/>
      <c r="E415" s="460" t="s">
        <v>2716</v>
      </c>
      <c r="F415" s="472" t="str">
        <f t="shared" si="12"/>
        <v>HASSELMANN RESEARCH ENDO</v>
      </c>
      <c r="G415" s="473">
        <v>674161.46</v>
      </c>
      <c r="H415" s="474">
        <v>243750</v>
      </c>
      <c r="I415" s="474">
        <v>31670.4</v>
      </c>
      <c r="J415" s="474">
        <v>106949.49</v>
      </c>
      <c r="K415" s="474">
        <v>0</v>
      </c>
      <c r="L415" s="474">
        <v>547525.42</v>
      </c>
      <c r="M415" s="474">
        <f t="shared" si="13"/>
        <v>1604056.77</v>
      </c>
    </row>
    <row r="416" spans="1:13" ht="12.75" outlineLevel="1">
      <c r="A416" s="424" t="s">
        <v>2717</v>
      </c>
      <c r="C416" s="471"/>
      <c r="D416" s="471"/>
      <c r="E416" s="460" t="s">
        <v>2718</v>
      </c>
      <c r="F416" s="472" t="str">
        <f t="shared" si="12"/>
        <v>MONTGOMERY PSYCOLOGY ENDOWED</v>
      </c>
      <c r="G416" s="473">
        <v>30196.8</v>
      </c>
      <c r="H416" s="474">
        <v>0</v>
      </c>
      <c r="I416" s="474">
        <v>320.94</v>
      </c>
      <c r="J416" s="474">
        <v>1510.63</v>
      </c>
      <c r="K416" s="474">
        <v>0</v>
      </c>
      <c r="L416" s="474">
        <v>0</v>
      </c>
      <c r="M416" s="474">
        <f t="shared" si="13"/>
        <v>32028.37</v>
      </c>
    </row>
    <row r="417" spans="1:13" ht="12.75" outlineLevel="1">
      <c r="A417" s="424" t="s">
        <v>2719</v>
      </c>
      <c r="C417" s="471"/>
      <c r="D417" s="471"/>
      <c r="E417" s="460" t="s">
        <v>2720</v>
      </c>
      <c r="F417" s="472" t="str">
        <f t="shared" si="12"/>
        <v>GRAINGER OUTSTANDING POWER ENG</v>
      </c>
      <c r="G417" s="473">
        <v>1317313.68</v>
      </c>
      <c r="H417" s="474">
        <v>0</v>
      </c>
      <c r="I417" s="474">
        <v>28260.36</v>
      </c>
      <c r="J417" s="474">
        <v>133488.23</v>
      </c>
      <c r="K417" s="474">
        <v>0</v>
      </c>
      <c r="L417" s="474">
        <v>0</v>
      </c>
      <c r="M417" s="474">
        <f t="shared" si="13"/>
        <v>1479062.27</v>
      </c>
    </row>
    <row r="418" spans="1:13" ht="12.75" outlineLevel="1">
      <c r="A418" s="424" t="s">
        <v>2721</v>
      </c>
      <c r="C418" s="471"/>
      <c r="D418" s="471"/>
      <c r="E418" s="460" t="s">
        <v>2722</v>
      </c>
      <c r="F418" s="472" t="str">
        <f t="shared" si="12"/>
        <v>ACADEMY OF ENGINEERING MGMT EN</v>
      </c>
      <c r="G418" s="473">
        <v>30235.69</v>
      </c>
      <c r="H418" s="474">
        <v>0</v>
      </c>
      <c r="I418" s="474">
        <v>743.79</v>
      </c>
      <c r="J418" s="474">
        <v>2431.45</v>
      </c>
      <c r="K418" s="474">
        <v>0</v>
      </c>
      <c r="L418" s="474">
        <v>0</v>
      </c>
      <c r="M418" s="474">
        <f t="shared" si="13"/>
        <v>33410.93</v>
      </c>
    </row>
    <row r="419" spans="1:13" ht="12.75" outlineLevel="1">
      <c r="A419" s="424" t="s">
        <v>2723</v>
      </c>
      <c r="C419" s="471"/>
      <c r="D419" s="471"/>
      <c r="E419" s="460" t="s">
        <v>2724</v>
      </c>
      <c r="F419" s="472" t="str">
        <f t="shared" si="12"/>
        <v>BIPIN&amp;LINDA DOSHI ENDOWED SCHO</v>
      </c>
      <c r="G419" s="473">
        <v>30399.53</v>
      </c>
      <c r="H419" s="474">
        <v>0</v>
      </c>
      <c r="I419" s="474">
        <v>652.16</v>
      </c>
      <c r="J419" s="474">
        <v>3080.49</v>
      </c>
      <c r="K419" s="474">
        <v>0</v>
      </c>
      <c r="L419" s="474">
        <v>0</v>
      </c>
      <c r="M419" s="474">
        <f t="shared" si="13"/>
        <v>34132.18</v>
      </c>
    </row>
    <row r="420" spans="1:13" ht="12.75" outlineLevel="1">
      <c r="A420" s="424" t="s">
        <v>2725</v>
      </c>
      <c r="C420" s="471"/>
      <c r="D420" s="471"/>
      <c r="E420" s="460" t="s">
        <v>2726</v>
      </c>
      <c r="F420" s="472" t="str">
        <f t="shared" si="12"/>
        <v>THEODORE A RUPPERT ENDOWED</v>
      </c>
      <c r="G420" s="473">
        <v>30399.53</v>
      </c>
      <c r="H420" s="474">
        <v>0</v>
      </c>
      <c r="I420" s="474">
        <v>652.16</v>
      </c>
      <c r="J420" s="474">
        <v>3080.49</v>
      </c>
      <c r="K420" s="474">
        <v>0</v>
      </c>
      <c r="L420" s="474">
        <v>0</v>
      </c>
      <c r="M420" s="474">
        <f t="shared" si="13"/>
        <v>34132.18</v>
      </c>
    </row>
    <row r="421" spans="1:13" ht="12.75" outlineLevel="1">
      <c r="A421" s="424" t="s">
        <v>2727</v>
      </c>
      <c r="C421" s="471"/>
      <c r="D421" s="471"/>
      <c r="E421" s="460" t="s">
        <v>2728</v>
      </c>
      <c r="F421" s="472" t="str">
        <f t="shared" si="12"/>
        <v>SHANNON &amp; WILSON INC ENDOWED</v>
      </c>
      <c r="G421" s="473">
        <v>30399.53</v>
      </c>
      <c r="H421" s="474">
        <v>0</v>
      </c>
      <c r="I421" s="474">
        <v>652.16</v>
      </c>
      <c r="J421" s="474">
        <v>3080.49</v>
      </c>
      <c r="K421" s="474">
        <v>0</v>
      </c>
      <c r="L421" s="474">
        <v>0</v>
      </c>
      <c r="M421" s="474">
        <f t="shared" si="13"/>
        <v>34132.18</v>
      </c>
    </row>
    <row r="422" spans="1:13" ht="12.75" outlineLevel="1">
      <c r="A422" s="424" t="s">
        <v>2729</v>
      </c>
      <c r="C422" s="471"/>
      <c r="D422" s="471"/>
      <c r="E422" s="460" t="s">
        <v>2730</v>
      </c>
      <c r="F422" s="472" t="str">
        <f t="shared" si="12"/>
        <v>PHYSICS SCHOLARSHIP ACADEMIC</v>
      </c>
      <c r="G422" s="473">
        <v>10143.58</v>
      </c>
      <c r="H422" s="474">
        <v>5000</v>
      </c>
      <c r="I422" s="474">
        <v>680.84</v>
      </c>
      <c r="J422" s="474">
        <v>1835.18</v>
      </c>
      <c r="K422" s="474">
        <v>0</v>
      </c>
      <c r="L422" s="474">
        <v>15000</v>
      </c>
      <c r="M422" s="474">
        <f t="shared" si="13"/>
        <v>32659.6</v>
      </c>
    </row>
    <row r="423" spans="1:13" ht="12.75" outlineLevel="1">
      <c r="A423" s="424" t="s">
        <v>2731</v>
      </c>
      <c r="C423" s="471"/>
      <c r="D423" s="471"/>
      <c r="E423" s="460" t="s">
        <v>2732</v>
      </c>
      <c r="F423" s="472" t="str">
        <f t="shared" si="12"/>
        <v>DR RICHARD ANDERSON PHYSICS</v>
      </c>
      <c r="G423" s="473">
        <v>20929.39</v>
      </c>
      <c r="H423" s="474">
        <v>235</v>
      </c>
      <c r="I423" s="474">
        <v>453.14</v>
      </c>
      <c r="J423" s="474">
        <v>2132.17</v>
      </c>
      <c r="K423" s="474">
        <v>0</v>
      </c>
      <c r="L423" s="474">
        <v>0</v>
      </c>
      <c r="M423" s="474">
        <f t="shared" si="13"/>
        <v>23749.699999999997</v>
      </c>
    </row>
    <row r="424" spans="1:13" ht="12.75" outlineLevel="1">
      <c r="A424" s="424" t="s">
        <v>2733</v>
      </c>
      <c r="C424" s="471"/>
      <c r="D424" s="471"/>
      <c r="E424" s="460" t="s">
        <v>2734</v>
      </c>
      <c r="F424" s="472" t="str">
        <f t="shared" si="12"/>
        <v>GERALD/AUDREY HUDDLESON</v>
      </c>
      <c r="G424" s="473">
        <v>30260.68</v>
      </c>
      <c r="H424" s="474">
        <v>0</v>
      </c>
      <c r="I424" s="474">
        <v>729.81</v>
      </c>
      <c r="J424" s="474">
        <v>2530.46</v>
      </c>
      <c r="K424" s="474">
        <v>0</v>
      </c>
      <c r="L424" s="474">
        <v>0</v>
      </c>
      <c r="M424" s="474">
        <f t="shared" si="13"/>
        <v>33520.950000000004</v>
      </c>
    </row>
    <row r="425" spans="1:13" ht="12.75" outlineLevel="1">
      <c r="A425" s="424" t="s">
        <v>2735</v>
      </c>
      <c r="C425" s="471"/>
      <c r="D425" s="471"/>
      <c r="E425" s="460" t="s">
        <v>2736</v>
      </c>
      <c r="F425" s="472" t="str">
        <f t="shared" si="12"/>
        <v>KAPPA ALPHA ENDOWED-B</v>
      </c>
      <c r="G425" s="473">
        <v>12048.72</v>
      </c>
      <c r="H425" s="474">
        <v>505.34</v>
      </c>
      <c r="I425" s="474">
        <v>762.02</v>
      </c>
      <c r="J425" s="474">
        <v>1960.82</v>
      </c>
      <c r="K425" s="474">
        <v>0</v>
      </c>
      <c r="L425" s="474">
        <v>18000</v>
      </c>
      <c r="M425" s="474">
        <f t="shared" si="13"/>
        <v>33276.9</v>
      </c>
    </row>
    <row r="426" spans="1:13" ht="12.75" outlineLevel="1">
      <c r="A426" s="424" t="s">
        <v>2737</v>
      </c>
      <c r="C426" s="471"/>
      <c r="D426" s="471"/>
      <c r="E426" s="460" t="s">
        <v>2738</v>
      </c>
      <c r="F426" s="472" t="str">
        <f t="shared" si="12"/>
        <v>LATZER PIKA SCHOLARSHIP ENDOW</v>
      </c>
      <c r="G426" s="473">
        <v>30679.55</v>
      </c>
      <c r="H426" s="474">
        <v>0</v>
      </c>
      <c r="I426" s="474">
        <v>738.57</v>
      </c>
      <c r="J426" s="474">
        <v>2574.58</v>
      </c>
      <c r="K426" s="474">
        <v>0</v>
      </c>
      <c r="L426" s="474">
        <v>0</v>
      </c>
      <c r="M426" s="474">
        <f t="shared" si="13"/>
        <v>33992.7</v>
      </c>
    </row>
    <row r="427" spans="1:13" ht="12.75" outlineLevel="1">
      <c r="A427" s="424" t="s">
        <v>2739</v>
      </c>
      <c r="C427" s="471"/>
      <c r="D427" s="471"/>
      <c r="E427" s="460" t="s">
        <v>2740</v>
      </c>
      <c r="F427" s="472" t="str">
        <f t="shared" si="12"/>
        <v>PHILIP AND DIANE WADE ENDOWED</v>
      </c>
      <c r="G427" s="473">
        <v>30121.8</v>
      </c>
      <c r="H427" s="474">
        <v>842.2</v>
      </c>
      <c r="I427" s="474">
        <v>819.37</v>
      </c>
      <c r="J427" s="474">
        <v>1961.2</v>
      </c>
      <c r="K427" s="474">
        <v>0</v>
      </c>
      <c r="L427" s="474">
        <v>0</v>
      </c>
      <c r="M427" s="474">
        <f t="shared" si="13"/>
        <v>33744.57</v>
      </c>
    </row>
    <row r="428" spans="1:13" ht="12.75" outlineLevel="1">
      <c r="A428" s="424" t="s">
        <v>2741</v>
      </c>
      <c r="C428" s="471"/>
      <c r="D428" s="471"/>
      <c r="E428" s="460" t="s">
        <v>2742</v>
      </c>
      <c r="F428" s="472" t="str">
        <f t="shared" si="12"/>
        <v>MICHAEL D BRATCHER ENDOWED</v>
      </c>
      <c r="G428" s="473">
        <v>30121.8</v>
      </c>
      <c r="H428" s="474">
        <v>200</v>
      </c>
      <c r="I428" s="474">
        <v>809.46</v>
      </c>
      <c r="J428" s="474">
        <v>1978.99</v>
      </c>
      <c r="K428" s="474">
        <v>0</v>
      </c>
      <c r="L428" s="474">
        <v>0</v>
      </c>
      <c r="M428" s="474">
        <f t="shared" si="13"/>
        <v>33110.25</v>
      </c>
    </row>
    <row r="429" spans="1:13" ht="12.75" outlineLevel="1">
      <c r="A429" s="424" t="s">
        <v>2743</v>
      </c>
      <c r="C429" s="471"/>
      <c r="D429" s="471"/>
      <c r="E429" s="460" t="s">
        <v>2744</v>
      </c>
      <c r="F429" s="472" t="str">
        <f t="shared" si="12"/>
        <v>CHILES-MONTGOMERY ENDOWED</v>
      </c>
      <c r="G429" s="473">
        <v>30168.11</v>
      </c>
      <c r="H429" s="474">
        <v>505.33</v>
      </c>
      <c r="I429" s="474">
        <v>775.19</v>
      </c>
      <c r="J429" s="474">
        <v>2242.37</v>
      </c>
      <c r="K429" s="474">
        <v>0</v>
      </c>
      <c r="L429" s="474">
        <v>0</v>
      </c>
      <c r="M429" s="474">
        <f t="shared" si="13"/>
        <v>33691</v>
      </c>
    </row>
    <row r="430" spans="1:13" ht="12.75" outlineLevel="1">
      <c r="A430" s="424" t="s">
        <v>2745</v>
      </c>
      <c r="C430" s="471"/>
      <c r="D430" s="471"/>
      <c r="E430" s="460" t="s">
        <v>2746</v>
      </c>
      <c r="F430" s="472" t="str">
        <f t="shared" si="12"/>
        <v>ANDREW J BAUM ENDOWED</v>
      </c>
      <c r="G430" s="473">
        <v>30121.8</v>
      </c>
      <c r="H430" s="474">
        <v>842.2</v>
      </c>
      <c r="I430" s="474">
        <v>819.37</v>
      </c>
      <c r="J430" s="474">
        <v>1961.2</v>
      </c>
      <c r="K430" s="474">
        <v>0</v>
      </c>
      <c r="L430" s="474">
        <v>0</v>
      </c>
      <c r="M430" s="474">
        <f t="shared" si="13"/>
        <v>33744.57</v>
      </c>
    </row>
    <row r="431" spans="1:13" ht="12.75" outlineLevel="1">
      <c r="A431" s="424" t="s">
        <v>2747</v>
      </c>
      <c r="C431" s="471"/>
      <c r="D431" s="471"/>
      <c r="E431" s="460" t="s">
        <v>2748</v>
      </c>
      <c r="F431" s="472" t="str">
        <f t="shared" si="12"/>
        <v>STUDENT DESIGN &amp; EXPERIENTIAL</v>
      </c>
      <c r="G431" s="473">
        <v>0</v>
      </c>
      <c r="H431" s="474">
        <v>10000</v>
      </c>
      <c r="I431" s="474">
        <v>62.6</v>
      </c>
      <c r="J431" s="474">
        <v>-70.74</v>
      </c>
      <c r="K431" s="474">
        <v>0</v>
      </c>
      <c r="L431" s="474">
        <v>0</v>
      </c>
      <c r="M431" s="474">
        <f t="shared" si="13"/>
        <v>9991.86</v>
      </c>
    </row>
    <row r="432" spans="1:13" ht="12.75" outlineLevel="1">
      <c r="A432" s="424" t="s">
        <v>2749</v>
      </c>
      <c r="C432" s="471"/>
      <c r="D432" s="471"/>
      <c r="E432" s="460" t="s">
        <v>2750</v>
      </c>
      <c r="F432" s="472" t="str">
        <f t="shared" si="12"/>
        <v>ROY&amp;PAT SHOURD ENDOWED ENG SCH</v>
      </c>
      <c r="G432" s="473">
        <v>113032.51</v>
      </c>
      <c r="H432" s="474">
        <v>0</v>
      </c>
      <c r="I432" s="474">
        <v>3030.15</v>
      </c>
      <c r="J432" s="474">
        <v>7431.51</v>
      </c>
      <c r="K432" s="474">
        <v>0</v>
      </c>
      <c r="L432" s="474">
        <v>0</v>
      </c>
      <c r="M432" s="474">
        <f t="shared" si="13"/>
        <v>123494.16999999998</v>
      </c>
    </row>
    <row r="433" spans="1:13" ht="12.75" outlineLevel="1">
      <c r="A433" s="424" t="s">
        <v>2751</v>
      </c>
      <c r="C433" s="471"/>
      <c r="D433" s="471"/>
      <c r="E433" s="460" t="s">
        <v>2752</v>
      </c>
      <c r="F433" s="472" t="str">
        <f t="shared" si="12"/>
        <v>ACCENTURE ENDOWED SCHOLARSHIP</v>
      </c>
      <c r="G433" s="473">
        <v>33535.4</v>
      </c>
      <c r="H433" s="474">
        <v>1820.73</v>
      </c>
      <c r="I433" s="474">
        <v>927.21</v>
      </c>
      <c r="J433" s="474">
        <v>2248.91</v>
      </c>
      <c r="K433" s="474">
        <v>0</v>
      </c>
      <c r="L433" s="474">
        <v>0</v>
      </c>
      <c r="M433" s="474">
        <f t="shared" si="13"/>
        <v>38532.25</v>
      </c>
    </row>
    <row r="434" spans="1:13" ht="12.75" outlineLevel="1">
      <c r="A434" s="424" t="s">
        <v>2753</v>
      </c>
      <c r="C434" s="471"/>
      <c r="D434" s="471"/>
      <c r="E434" s="460" t="s">
        <v>2754</v>
      </c>
      <c r="F434" s="472" t="str">
        <f t="shared" si="12"/>
        <v>JERRY R BAYLESS ENDOWED SCHOLA</v>
      </c>
      <c r="G434" s="473">
        <v>25101.5</v>
      </c>
      <c r="H434" s="474">
        <v>18800</v>
      </c>
      <c r="I434" s="474">
        <v>832.78</v>
      </c>
      <c r="J434" s="474">
        <v>1557.09</v>
      </c>
      <c r="K434" s="474">
        <v>0</v>
      </c>
      <c r="L434" s="474">
        <v>0</v>
      </c>
      <c r="M434" s="474">
        <f t="shared" si="13"/>
        <v>46291.369999999995</v>
      </c>
    </row>
    <row r="435" spans="1:13" ht="12.75" outlineLevel="1">
      <c r="A435" s="424" t="s">
        <v>2755</v>
      </c>
      <c r="C435" s="471"/>
      <c r="D435" s="471"/>
      <c r="E435" s="460" t="s">
        <v>2756</v>
      </c>
      <c r="F435" s="472" t="str">
        <f t="shared" si="12"/>
        <v>VOJTA  ENDOWED DEVELOPMENT FND</v>
      </c>
      <c r="G435" s="473">
        <v>100406</v>
      </c>
      <c r="H435" s="474">
        <v>-100000</v>
      </c>
      <c r="I435" s="474">
        <v>10.88</v>
      </c>
      <c r="J435" s="474">
        <v>26.62</v>
      </c>
      <c r="K435" s="474">
        <v>0</v>
      </c>
      <c r="L435" s="474">
        <v>0</v>
      </c>
      <c r="M435" s="474">
        <f t="shared" si="13"/>
        <v>443.5</v>
      </c>
    </row>
    <row r="436" spans="1:13" ht="12.75" outlineLevel="1">
      <c r="A436" s="424" t="s">
        <v>2757</v>
      </c>
      <c r="C436" s="471"/>
      <c r="D436" s="471"/>
      <c r="E436" s="460" t="s">
        <v>2758</v>
      </c>
      <c r="F436" s="472" t="str">
        <f t="shared" si="12"/>
        <v>MIMI AND LEE POWELL ENDOWED</v>
      </c>
      <c r="G436" s="473">
        <v>3514.21</v>
      </c>
      <c r="H436" s="474">
        <v>0</v>
      </c>
      <c r="I436" s="474">
        <v>178.18</v>
      </c>
      <c r="J436" s="474">
        <v>460.53</v>
      </c>
      <c r="K436" s="474">
        <v>0</v>
      </c>
      <c r="L436" s="474">
        <v>3500</v>
      </c>
      <c r="M436" s="474">
        <f t="shared" si="13"/>
        <v>7652.92</v>
      </c>
    </row>
    <row r="437" spans="1:13" ht="12.75" outlineLevel="1">
      <c r="A437" s="424" t="s">
        <v>2759</v>
      </c>
      <c r="C437" s="471"/>
      <c r="D437" s="471"/>
      <c r="E437" s="460" t="s">
        <v>2760</v>
      </c>
      <c r="F437" s="472" t="str">
        <f t="shared" si="12"/>
        <v>BALDETTI ENDOWED SCHOLARSHIP</v>
      </c>
      <c r="G437" s="473">
        <v>90365.4</v>
      </c>
      <c r="H437" s="474">
        <v>0</v>
      </c>
      <c r="I437" s="474">
        <v>2422.49</v>
      </c>
      <c r="J437" s="474">
        <v>5941.24</v>
      </c>
      <c r="K437" s="474">
        <v>0</v>
      </c>
      <c r="L437" s="474">
        <v>0</v>
      </c>
      <c r="M437" s="474">
        <f t="shared" si="13"/>
        <v>98729.13</v>
      </c>
    </row>
    <row r="438" spans="1:13" ht="12.75" outlineLevel="1">
      <c r="A438" s="424" t="s">
        <v>2761</v>
      </c>
      <c r="C438" s="471"/>
      <c r="D438" s="471"/>
      <c r="E438" s="460" t="s">
        <v>2762</v>
      </c>
      <c r="F438" s="472" t="str">
        <f t="shared" si="12"/>
        <v>JACKLING JOCKS ENDOWED SCHOLAR</v>
      </c>
      <c r="G438" s="473">
        <v>29167.94</v>
      </c>
      <c r="H438" s="474">
        <v>2000</v>
      </c>
      <c r="I438" s="474">
        <v>820.5</v>
      </c>
      <c r="J438" s="474">
        <v>1996.72</v>
      </c>
      <c r="K438" s="474">
        <v>282.09</v>
      </c>
      <c r="L438" s="474">
        <v>0</v>
      </c>
      <c r="M438" s="474">
        <f t="shared" si="13"/>
        <v>33703.07</v>
      </c>
    </row>
    <row r="439" spans="1:13" ht="12.75" outlineLevel="1">
      <c r="A439" s="424" t="s">
        <v>2763</v>
      </c>
      <c r="C439" s="471"/>
      <c r="D439" s="471"/>
      <c r="E439" s="460" t="s">
        <v>2764</v>
      </c>
      <c r="F439" s="472" t="str">
        <f t="shared" si="12"/>
        <v>KENNETH WOOD ENDOWED SCHOLARSH</v>
      </c>
      <c r="G439" s="473">
        <v>30121.8</v>
      </c>
      <c r="H439" s="474">
        <v>5500</v>
      </c>
      <c r="I439" s="474">
        <v>928.45</v>
      </c>
      <c r="J439" s="474">
        <v>2245.16</v>
      </c>
      <c r="K439" s="474">
        <v>0</v>
      </c>
      <c r="L439" s="474">
        <v>0</v>
      </c>
      <c r="M439" s="474">
        <f t="shared" si="13"/>
        <v>38795.41</v>
      </c>
    </row>
    <row r="440" spans="1:13" ht="12.75" outlineLevel="1">
      <c r="A440" s="424" t="s">
        <v>2765</v>
      </c>
      <c r="C440" s="471"/>
      <c r="D440" s="471"/>
      <c r="E440" s="460" t="s">
        <v>2766</v>
      </c>
      <c r="F440" s="445" t="str">
        <f t="shared" si="12"/>
        <v>JACK&amp;FRAN MORRIS ENDOWED</v>
      </c>
      <c r="G440" s="521">
        <v>30121.8</v>
      </c>
      <c r="H440" s="474">
        <v>0</v>
      </c>
      <c r="I440" s="474">
        <v>807.48</v>
      </c>
      <c r="J440" s="474">
        <v>1980.42</v>
      </c>
      <c r="K440" s="474">
        <v>0</v>
      </c>
      <c r="L440" s="474">
        <v>0</v>
      </c>
      <c r="M440" s="474">
        <f t="shared" si="13"/>
        <v>32909.7</v>
      </c>
    </row>
    <row r="441" spans="1:13" ht="12.75" outlineLevel="1">
      <c r="A441" s="424" t="s">
        <v>2767</v>
      </c>
      <c r="C441" s="471"/>
      <c r="D441" s="471"/>
      <c r="E441" s="460" t="s">
        <v>2768</v>
      </c>
      <c r="F441" s="445" t="str">
        <f t="shared" si="12"/>
        <v>MARIESA CROW &amp; JAMES  DRANIAK</v>
      </c>
      <c r="G441" s="521">
        <v>30121.8</v>
      </c>
      <c r="H441" s="474">
        <v>0</v>
      </c>
      <c r="I441" s="474">
        <v>807.48</v>
      </c>
      <c r="J441" s="474">
        <v>1980.42</v>
      </c>
      <c r="K441" s="474">
        <v>0</v>
      </c>
      <c r="L441" s="474">
        <v>0</v>
      </c>
      <c r="M441" s="474">
        <f t="shared" si="13"/>
        <v>32909.7</v>
      </c>
    </row>
    <row r="442" spans="1:13" ht="12.75" outlineLevel="1">
      <c r="A442" s="424" t="s">
        <v>2769</v>
      </c>
      <c r="C442" s="471"/>
      <c r="D442" s="471"/>
      <c r="E442" s="460" t="s">
        <v>2770</v>
      </c>
      <c r="F442" s="472" t="str">
        <f t="shared" si="12"/>
        <v>DENNIS AND SUE PARKER ENDOWED</v>
      </c>
      <c r="G442" s="473">
        <v>90643.31</v>
      </c>
      <c r="H442" s="474">
        <v>0</v>
      </c>
      <c r="I442" s="474">
        <v>2185.77</v>
      </c>
      <c r="J442" s="474">
        <v>7582.25</v>
      </c>
      <c r="K442" s="474">
        <v>0</v>
      </c>
      <c r="L442" s="474">
        <v>0</v>
      </c>
      <c r="M442" s="474">
        <f t="shared" si="13"/>
        <v>100411.33</v>
      </c>
    </row>
    <row r="443" spans="1:13" ht="12.75" outlineLevel="1">
      <c r="A443" s="424" t="s">
        <v>2771</v>
      </c>
      <c r="C443" s="471"/>
      <c r="D443" s="471"/>
      <c r="E443" s="460" t="s">
        <v>727</v>
      </c>
      <c r="F443" s="472" t="str">
        <f t="shared" si="12"/>
        <v>KATHY AND MARK WALKER ENDOWED</v>
      </c>
      <c r="G443" s="473">
        <v>30121.8</v>
      </c>
      <c r="H443" s="474">
        <v>0</v>
      </c>
      <c r="I443" s="474">
        <v>807.48</v>
      </c>
      <c r="J443" s="474">
        <v>1980.42</v>
      </c>
      <c r="K443" s="474">
        <v>0</v>
      </c>
      <c r="L443" s="474">
        <v>0</v>
      </c>
      <c r="M443" s="474">
        <f t="shared" si="13"/>
        <v>32909.7</v>
      </c>
    </row>
    <row r="444" spans="1:13" ht="12.75" outlineLevel="1">
      <c r="A444" s="424" t="s">
        <v>728</v>
      </c>
      <c r="C444" s="471"/>
      <c r="D444" s="471"/>
      <c r="E444" s="460" t="s">
        <v>729</v>
      </c>
      <c r="F444" s="472" t="str">
        <f t="shared" si="12"/>
        <v>CERAMICS ENGINEERING ENDOWED</v>
      </c>
      <c r="G444" s="473">
        <v>15000</v>
      </c>
      <c r="H444" s="474">
        <v>15000</v>
      </c>
      <c r="I444" s="474">
        <v>825.9</v>
      </c>
      <c r="J444" s="474">
        <v>1602.14</v>
      </c>
      <c r="K444" s="474">
        <v>0</v>
      </c>
      <c r="L444" s="474">
        <v>15000</v>
      </c>
      <c r="M444" s="474">
        <f t="shared" si="13"/>
        <v>47428.04</v>
      </c>
    </row>
    <row r="445" spans="1:13" ht="12.75" outlineLevel="1">
      <c r="A445" s="424" t="s">
        <v>730</v>
      </c>
      <c r="C445" s="471"/>
      <c r="D445" s="471"/>
      <c r="E445" s="460" t="s">
        <v>731</v>
      </c>
      <c r="F445" s="472" t="str">
        <f t="shared" si="12"/>
        <v>HARVEY COMMUNITY SERVICE ENDOW</v>
      </c>
      <c r="G445" s="473">
        <v>0</v>
      </c>
      <c r="H445" s="474">
        <v>20950</v>
      </c>
      <c r="I445" s="474">
        <v>236.86</v>
      </c>
      <c r="J445" s="474">
        <v>-53.68</v>
      </c>
      <c r="K445" s="474">
        <v>0</v>
      </c>
      <c r="L445" s="474">
        <v>0</v>
      </c>
      <c r="M445" s="474">
        <f t="shared" si="13"/>
        <v>21133.18</v>
      </c>
    </row>
    <row r="446" spans="1:13" ht="12.75" outlineLevel="1">
      <c r="A446" s="424" t="s">
        <v>732</v>
      </c>
      <c r="C446" s="471"/>
      <c r="D446" s="471"/>
      <c r="E446" s="460" t="s">
        <v>733</v>
      </c>
      <c r="F446" s="472" t="str">
        <f t="shared" si="12"/>
        <v>NASLUND FAMILY ENDOWED SOCCER</v>
      </c>
      <c r="G446" s="473">
        <v>0</v>
      </c>
      <c r="H446" s="474">
        <v>0</v>
      </c>
      <c r="I446" s="474">
        <v>25.52</v>
      </c>
      <c r="J446" s="474">
        <v>-90.01</v>
      </c>
      <c r="K446" s="474">
        <v>0</v>
      </c>
      <c r="L446" s="474">
        <v>12778.47</v>
      </c>
      <c r="M446" s="474">
        <f t="shared" si="13"/>
        <v>12713.98</v>
      </c>
    </row>
    <row r="447" spans="1:13" ht="12.75" outlineLevel="1">
      <c r="A447" s="424" t="s">
        <v>734</v>
      </c>
      <c r="C447" s="471"/>
      <c r="D447" s="471"/>
      <c r="E447" s="460" t="s">
        <v>735</v>
      </c>
      <c r="F447" s="472" t="str">
        <f t="shared" si="12"/>
        <v>JAMES-ALAN HOLT POWERS ENDOWED</v>
      </c>
      <c r="G447" s="473">
        <v>0</v>
      </c>
      <c r="H447" s="474">
        <v>0</v>
      </c>
      <c r="I447" s="474">
        <v>240.57</v>
      </c>
      <c r="J447" s="474">
        <v>691.8</v>
      </c>
      <c r="K447" s="474">
        <v>0</v>
      </c>
      <c r="L447" s="474">
        <v>26112.77</v>
      </c>
      <c r="M447" s="474">
        <f t="shared" si="13"/>
        <v>27045.14</v>
      </c>
    </row>
    <row r="448" spans="1:13" ht="12.75" outlineLevel="1">
      <c r="A448" s="424" t="s">
        <v>736</v>
      </c>
      <c r="C448" s="471"/>
      <c r="D448" s="471"/>
      <c r="E448" s="460" t="s">
        <v>737</v>
      </c>
      <c r="F448" s="472" t="str">
        <f t="shared" si="12"/>
        <v>LECTURESHIP IN GEOTECHNICAL EN</v>
      </c>
      <c r="G448" s="473">
        <v>0</v>
      </c>
      <c r="H448" s="474">
        <v>0</v>
      </c>
      <c r="I448" s="474">
        <v>0</v>
      </c>
      <c r="J448" s="474">
        <v>0</v>
      </c>
      <c r="K448" s="474">
        <v>0</v>
      </c>
      <c r="L448" s="474">
        <v>0</v>
      </c>
      <c r="M448" s="474">
        <f t="shared" si="13"/>
        <v>0</v>
      </c>
    </row>
    <row r="449" spans="1:13" ht="12.75" outlineLevel="1">
      <c r="A449" s="424" t="s">
        <v>738</v>
      </c>
      <c r="C449" s="471"/>
      <c r="D449" s="471"/>
      <c r="E449" s="460" t="s">
        <v>739</v>
      </c>
      <c r="F449" s="472" t="str">
        <f t="shared" si="12"/>
        <v>OMER ROBERTS SCHOLARS</v>
      </c>
      <c r="G449" s="473">
        <v>0</v>
      </c>
      <c r="H449" s="474">
        <v>10000</v>
      </c>
      <c r="I449" s="474">
        <v>117.87</v>
      </c>
      <c r="J449" s="474">
        <v>-114.81</v>
      </c>
      <c r="K449" s="474">
        <v>16</v>
      </c>
      <c r="L449" s="474">
        <v>0</v>
      </c>
      <c r="M449" s="474">
        <f t="shared" si="13"/>
        <v>9987.060000000001</v>
      </c>
    </row>
    <row r="450" spans="1:13" ht="12.75" outlineLevel="1">
      <c r="A450" s="424" t="s">
        <v>740</v>
      </c>
      <c r="C450" s="471"/>
      <c r="D450" s="471"/>
      <c r="E450" s="460" t="s">
        <v>741</v>
      </c>
      <c r="F450" s="472" t="str">
        <f t="shared" si="12"/>
        <v>ST CLAIR SCHOLAR &amp; FELLOW FUND</v>
      </c>
      <c r="G450" s="473">
        <v>0</v>
      </c>
      <c r="H450" s="474">
        <v>9500</v>
      </c>
      <c r="I450" s="474">
        <v>141.23</v>
      </c>
      <c r="J450" s="474">
        <v>-228.06</v>
      </c>
      <c r="K450" s="474">
        <v>0</v>
      </c>
      <c r="L450" s="474">
        <v>500</v>
      </c>
      <c r="M450" s="474">
        <f t="shared" si="13"/>
        <v>9913.17</v>
      </c>
    </row>
    <row r="451" spans="1:13" ht="12.75" outlineLevel="1">
      <c r="A451" s="424" t="s">
        <v>742</v>
      </c>
      <c r="C451" s="471"/>
      <c r="D451" s="471"/>
      <c r="E451" s="460" t="s">
        <v>743</v>
      </c>
      <c r="F451" s="472" t="str">
        <f t="shared" si="12"/>
        <v>NELSON MEMORIAL SCHOLARSHIP</v>
      </c>
      <c r="G451" s="473">
        <v>0</v>
      </c>
      <c r="H451" s="474">
        <v>21713</v>
      </c>
      <c r="I451" s="474">
        <v>305.82</v>
      </c>
      <c r="J451" s="474">
        <v>-492.85</v>
      </c>
      <c r="K451" s="474">
        <v>0</v>
      </c>
      <c r="L451" s="474">
        <v>0</v>
      </c>
      <c r="M451" s="474">
        <f t="shared" si="13"/>
        <v>21525.97</v>
      </c>
    </row>
    <row r="452" spans="1:13" ht="12.75" outlineLevel="1">
      <c r="A452" s="424" t="s">
        <v>744</v>
      </c>
      <c r="C452" s="471"/>
      <c r="D452" s="471"/>
      <c r="E452" s="460" t="s">
        <v>745</v>
      </c>
      <c r="F452" s="472" t="str">
        <f t="shared" si="12"/>
        <v>MILES CAREER DEVELOPMENT AWARD</v>
      </c>
      <c r="G452" s="473">
        <v>0</v>
      </c>
      <c r="H452" s="474">
        <v>10000</v>
      </c>
      <c r="I452" s="474">
        <v>141.23</v>
      </c>
      <c r="J452" s="474">
        <v>-228.06</v>
      </c>
      <c r="K452" s="474">
        <v>0</v>
      </c>
      <c r="L452" s="474">
        <v>0</v>
      </c>
      <c r="M452" s="474">
        <f t="shared" si="13"/>
        <v>9913.17</v>
      </c>
    </row>
    <row r="453" spans="1:13" ht="12.75" outlineLevel="1">
      <c r="A453" s="424" t="s">
        <v>746</v>
      </c>
      <c r="C453" s="471"/>
      <c r="D453" s="471"/>
      <c r="E453" s="460" t="s">
        <v>747</v>
      </c>
      <c r="F453" s="472" t="str">
        <f t="shared" si="12"/>
        <v>GEO SCIENCE &amp; ENGINEER FLD EDU</v>
      </c>
      <c r="G453" s="473">
        <v>0</v>
      </c>
      <c r="H453" s="474">
        <v>50000</v>
      </c>
      <c r="I453" s="474">
        <v>312.98</v>
      </c>
      <c r="J453" s="474">
        <v>-353.71</v>
      </c>
      <c r="K453" s="474">
        <v>0</v>
      </c>
      <c r="L453" s="474">
        <v>0</v>
      </c>
      <c r="M453" s="474">
        <f t="shared" si="13"/>
        <v>49959.270000000004</v>
      </c>
    </row>
    <row r="454" spans="1:13" ht="12.75" outlineLevel="1">
      <c r="A454" s="424" t="s">
        <v>748</v>
      </c>
      <c r="C454" s="471"/>
      <c r="D454" s="471"/>
      <c r="E454" s="460" t="s">
        <v>749</v>
      </c>
      <c r="F454" s="472" t="str">
        <f t="shared" si="12"/>
        <v>NUCOR ENDOWED CHAIR IN STEELMA</v>
      </c>
      <c r="G454" s="473">
        <v>0</v>
      </c>
      <c r="H454" s="474">
        <v>2000000</v>
      </c>
      <c r="I454" s="474">
        <v>22526.8</v>
      </c>
      <c r="J454" s="474">
        <v>-38422.34</v>
      </c>
      <c r="K454" s="474">
        <v>0</v>
      </c>
      <c r="L454" s="474">
        <v>0</v>
      </c>
      <c r="M454" s="474">
        <f t="shared" si="13"/>
        <v>1984104.46</v>
      </c>
    </row>
    <row r="455" spans="1:13" ht="12.75" outlineLevel="1">
      <c r="A455" s="424" t="s">
        <v>750</v>
      </c>
      <c r="C455" s="471"/>
      <c r="D455" s="471"/>
      <c r="E455" s="460" t="s">
        <v>751</v>
      </c>
      <c r="F455" s="472" t="str">
        <f t="shared" si="12"/>
        <v>STEEL BRIDGE TEAM ENDOWMENT</v>
      </c>
      <c r="G455" s="473">
        <v>0</v>
      </c>
      <c r="H455" s="474">
        <v>0</v>
      </c>
      <c r="I455" s="474">
        <v>41.97</v>
      </c>
      <c r="J455" s="474">
        <v>0</v>
      </c>
      <c r="K455" s="474">
        <v>0</v>
      </c>
      <c r="L455" s="474">
        <v>10000</v>
      </c>
      <c r="M455" s="474">
        <f t="shared" si="13"/>
        <v>10041.97</v>
      </c>
    </row>
    <row r="456" spans="1:13" ht="12.75" outlineLevel="1">
      <c r="A456" s="424" t="s">
        <v>752</v>
      </c>
      <c r="C456" s="471"/>
      <c r="D456" s="471"/>
      <c r="E456" s="460" t="s">
        <v>753</v>
      </c>
      <c r="F456" s="472" t="str">
        <f t="shared" si="12"/>
        <v>UMR GRAD PWR ENGR PG</v>
      </c>
      <c r="G456" s="473">
        <v>45274.85</v>
      </c>
      <c r="H456" s="474">
        <v>0</v>
      </c>
      <c r="I456" s="474">
        <v>0</v>
      </c>
      <c r="J456" s="474">
        <v>-2106.1</v>
      </c>
      <c r="K456" s="474">
        <v>0</v>
      </c>
      <c r="L456" s="474">
        <v>25000</v>
      </c>
      <c r="M456" s="474">
        <f t="shared" si="13"/>
        <v>68168.75</v>
      </c>
    </row>
    <row r="457" spans="1:13" ht="12.75" outlineLevel="1">
      <c r="A457" s="424" t="s">
        <v>754</v>
      </c>
      <c r="C457" s="471"/>
      <c r="D457" s="471"/>
      <c r="E457" s="460" t="s">
        <v>755</v>
      </c>
      <c r="F457" s="472" t="str">
        <f t="shared" si="12"/>
        <v>RICKETTS SCHOLARS</v>
      </c>
      <c r="G457" s="473">
        <v>18474.38</v>
      </c>
      <c r="H457" s="474">
        <v>0</v>
      </c>
      <c r="I457" s="474">
        <v>-355.39</v>
      </c>
      <c r="J457" s="474">
        <v>1799.45</v>
      </c>
      <c r="K457" s="474">
        <v>0</v>
      </c>
      <c r="L457" s="474">
        <v>0</v>
      </c>
      <c r="M457" s="474">
        <f t="shared" si="13"/>
        <v>19918.440000000002</v>
      </c>
    </row>
    <row r="458" spans="1:13" ht="12.75" outlineLevel="1">
      <c r="A458" s="424" t="s">
        <v>756</v>
      </c>
      <c r="C458" s="471"/>
      <c r="D458" s="471"/>
      <c r="E458" s="460" t="s">
        <v>757</v>
      </c>
      <c r="F458" s="472" t="str">
        <f t="shared" si="12"/>
        <v>MUNGER SCHOLARSHIP</v>
      </c>
      <c r="G458" s="473">
        <v>0</v>
      </c>
      <c r="H458" s="474">
        <v>0</v>
      </c>
      <c r="I458" s="474">
        <v>68.83</v>
      </c>
      <c r="J458" s="474">
        <v>-227.84</v>
      </c>
      <c r="K458" s="474">
        <v>0</v>
      </c>
      <c r="L458" s="474">
        <v>10012.46</v>
      </c>
      <c r="M458" s="474">
        <f t="shared" si="13"/>
        <v>9853.449999999999</v>
      </c>
    </row>
    <row r="459" spans="1:15" s="462" customFormat="1" ht="12.75" customHeight="1">
      <c r="A459" s="462" t="s">
        <v>758</v>
      </c>
      <c r="B459" s="458"/>
      <c r="C459" s="459"/>
      <c r="D459" s="459"/>
      <c r="E459" s="463" t="s">
        <v>759</v>
      </c>
      <c r="F459" s="524" t="str">
        <f>UPPER(E459)</f>
        <v>TOTAL INCOME RESTRICTED</v>
      </c>
      <c r="G459" s="525">
        <v>63563297.90000004</v>
      </c>
      <c r="H459" s="526">
        <v>4373106.02</v>
      </c>
      <c r="I459" s="526">
        <v>-707151.1299999993</v>
      </c>
      <c r="J459" s="526">
        <v>5735561.209999999</v>
      </c>
      <c r="K459" s="526">
        <v>2964.91</v>
      </c>
      <c r="L459" s="526">
        <v>663106.51</v>
      </c>
      <c r="M459" s="526">
        <f>G459+H459+I459+J459-K459+L459</f>
        <v>73624955.60000005</v>
      </c>
      <c r="N459" s="527"/>
      <c r="O459" s="528"/>
    </row>
    <row r="460" ht="12.75" customHeight="1"/>
    <row r="461" spans="2:15" s="462" customFormat="1" ht="12.75" customHeight="1">
      <c r="B461" s="458"/>
      <c r="C461" s="459"/>
      <c r="D461" s="459"/>
      <c r="E461" s="529"/>
      <c r="F461" s="530" t="s">
        <v>760</v>
      </c>
      <c r="G461" s="525">
        <f aca="true" t="shared" si="14" ref="G461:M461">G459</f>
        <v>63563297.90000004</v>
      </c>
      <c r="H461" s="526">
        <f t="shared" si="14"/>
        <v>4373106.02</v>
      </c>
      <c r="I461" s="526">
        <f t="shared" si="14"/>
        <v>-707151.1299999993</v>
      </c>
      <c r="J461" s="526">
        <f t="shared" si="14"/>
        <v>5735561.209999999</v>
      </c>
      <c r="K461" s="526">
        <f t="shared" si="14"/>
        <v>2964.91</v>
      </c>
      <c r="L461" s="526">
        <f t="shared" si="14"/>
        <v>663106.51</v>
      </c>
      <c r="M461" s="526">
        <f t="shared" si="14"/>
        <v>73624955.60000005</v>
      </c>
      <c r="N461" s="527"/>
      <c r="O461" s="528"/>
    </row>
    <row r="462" spans="5:6" ht="12.75" customHeight="1">
      <c r="E462" s="459"/>
      <c r="F462" s="531"/>
    </row>
    <row r="463" ht="12.75" customHeight="1">
      <c r="B463" s="458" t="s">
        <v>761</v>
      </c>
    </row>
    <row r="464" spans="3:4" ht="12.75" customHeight="1">
      <c r="C464" s="459" t="s">
        <v>2086</v>
      </c>
      <c r="D464" s="459"/>
    </row>
    <row r="465" spans="1:13" ht="12.75" outlineLevel="1">
      <c r="A465" s="424" t="s">
        <v>762</v>
      </c>
      <c r="C465" s="471"/>
      <c r="D465" s="471"/>
      <c r="E465" s="460" t="s">
        <v>763</v>
      </c>
      <c r="F465" s="472" t="str">
        <f aca="true" t="shared" si="15" ref="F465:F496">UPPER(E465)</f>
        <v>ACADEMY CHEMICAL EN</v>
      </c>
      <c r="G465" s="473">
        <v>72231.01</v>
      </c>
      <c r="H465" s="474">
        <v>23789.39</v>
      </c>
      <c r="I465" s="474">
        <v>-1802.07</v>
      </c>
      <c r="J465" s="474">
        <v>5480.98</v>
      </c>
      <c r="K465" s="474">
        <v>0</v>
      </c>
      <c r="L465" s="474">
        <v>-56456.88</v>
      </c>
      <c r="M465" s="474">
        <f aca="true" t="shared" si="16" ref="M465:M496">G465+H465+I465+J465-K465+L465</f>
        <v>43242.429999999986</v>
      </c>
    </row>
    <row r="466" spans="1:13" ht="12.75" outlineLevel="1">
      <c r="A466" s="424" t="s">
        <v>764</v>
      </c>
      <c r="C466" s="471"/>
      <c r="D466" s="471"/>
      <c r="E466" s="460" t="s">
        <v>765</v>
      </c>
      <c r="F466" s="472" t="str">
        <f t="shared" si="15"/>
        <v>ACADEMY CE SCHP</v>
      </c>
      <c r="G466" s="473">
        <v>82409.38</v>
      </c>
      <c r="H466" s="474">
        <v>0</v>
      </c>
      <c r="I466" s="474">
        <v>-1585.26</v>
      </c>
      <c r="J466" s="474">
        <v>8026.92</v>
      </c>
      <c r="K466" s="474">
        <v>0</v>
      </c>
      <c r="L466" s="474">
        <v>0</v>
      </c>
      <c r="M466" s="474">
        <f t="shared" si="16"/>
        <v>88851.04000000001</v>
      </c>
    </row>
    <row r="467" spans="1:13" ht="12.75" outlineLevel="1">
      <c r="A467" s="424" t="s">
        <v>766</v>
      </c>
      <c r="C467" s="471"/>
      <c r="D467" s="471"/>
      <c r="E467" s="460" t="s">
        <v>767</v>
      </c>
      <c r="F467" s="472" t="str">
        <f t="shared" si="15"/>
        <v>AEROSPACE ENG ENDOW</v>
      </c>
      <c r="G467" s="473">
        <v>67792.41</v>
      </c>
      <c r="H467" s="474">
        <v>0</v>
      </c>
      <c r="I467" s="474">
        <v>-817.33</v>
      </c>
      <c r="J467" s="474">
        <v>6268.5</v>
      </c>
      <c r="K467" s="474">
        <v>0</v>
      </c>
      <c r="L467" s="474">
        <v>0</v>
      </c>
      <c r="M467" s="474">
        <f t="shared" si="16"/>
        <v>73243.58</v>
      </c>
    </row>
    <row r="468" spans="1:13" ht="12.75" outlineLevel="1">
      <c r="A468" s="424" t="s">
        <v>768</v>
      </c>
      <c r="C468" s="471"/>
      <c r="D468" s="471"/>
      <c r="E468" s="460" t="s">
        <v>769</v>
      </c>
      <c r="F468" s="472" t="str">
        <f t="shared" si="15"/>
        <v>ANDREWS C E SCHP</v>
      </c>
      <c r="G468" s="473">
        <v>57209.6</v>
      </c>
      <c r="H468" s="474">
        <v>100</v>
      </c>
      <c r="I468" s="474">
        <v>-1095.25</v>
      </c>
      <c r="J468" s="474">
        <v>5579.27</v>
      </c>
      <c r="K468" s="474">
        <v>0</v>
      </c>
      <c r="L468" s="474">
        <v>0</v>
      </c>
      <c r="M468" s="474">
        <f t="shared" si="16"/>
        <v>61793.619999999995</v>
      </c>
    </row>
    <row r="469" spans="1:13" ht="12.75" outlineLevel="1">
      <c r="A469" s="424" t="s">
        <v>770</v>
      </c>
      <c r="C469" s="471"/>
      <c r="D469" s="471"/>
      <c r="E469" s="460" t="s">
        <v>771</v>
      </c>
      <c r="F469" s="472" t="str">
        <f t="shared" si="15"/>
        <v>BEST CIVIL ENG SCHOL</v>
      </c>
      <c r="G469" s="473">
        <v>56040.15</v>
      </c>
      <c r="H469" s="474">
        <v>50</v>
      </c>
      <c r="I469" s="474">
        <v>-1073.8</v>
      </c>
      <c r="J469" s="474">
        <v>5462.07</v>
      </c>
      <c r="K469" s="474">
        <v>0</v>
      </c>
      <c r="L469" s="474">
        <v>0</v>
      </c>
      <c r="M469" s="474">
        <f t="shared" si="16"/>
        <v>60478.42</v>
      </c>
    </row>
    <row r="470" spans="1:13" ht="12.75" outlineLevel="1">
      <c r="A470" s="424" t="s">
        <v>772</v>
      </c>
      <c r="C470" s="471"/>
      <c r="D470" s="471"/>
      <c r="E470" s="460" t="s">
        <v>773</v>
      </c>
      <c r="F470" s="472" t="str">
        <f t="shared" si="15"/>
        <v>JACK &amp; MARY BOYD SCH</v>
      </c>
      <c r="G470" s="473">
        <v>16592.16</v>
      </c>
      <c r="H470" s="474">
        <v>50</v>
      </c>
      <c r="I470" s="474">
        <v>-314.69</v>
      </c>
      <c r="J470" s="474">
        <v>1616.16</v>
      </c>
      <c r="K470" s="474">
        <v>0</v>
      </c>
      <c r="L470" s="474">
        <v>0</v>
      </c>
      <c r="M470" s="474">
        <f t="shared" si="16"/>
        <v>17943.63</v>
      </c>
    </row>
    <row r="471" spans="1:13" ht="12.75" outlineLevel="1">
      <c r="A471" s="424" t="s">
        <v>774</v>
      </c>
      <c r="C471" s="471"/>
      <c r="D471" s="471"/>
      <c r="E471" s="460" t="s">
        <v>775</v>
      </c>
      <c r="F471" s="472" t="str">
        <f t="shared" si="15"/>
        <v>BUTLER CIVIL ENGR</v>
      </c>
      <c r="G471" s="473">
        <v>114580.65</v>
      </c>
      <c r="H471" s="474">
        <v>0</v>
      </c>
      <c r="I471" s="474">
        <v>-2202.57</v>
      </c>
      <c r="J471" s="474">
        <v>11159.74</v>
      </c>
      <c r="K471" s="474">
        <v>0</v>
      </c>
      <c r="L471" s="474">
        <v>0</v>
      </c>
      <c r="M471" s="474">
        <f t="shared" si="16"/>
        <v>123537.81999999999</v>
      </c>
    </row>
    <row r="472" spans="1:13" ht="12.75" outlineLevel="1">
      <c r="A472" s="424" t="s">
        <v>776</v>
      </c>
      <c r="C472" s="471"/>
      <c r="D472" s="471"/>
      <c r="E472" s="460" t="s">
        <v>777</v>
      </c>
      <c r="F472" s="472" t="str">
        <f t="shared" si="15"/>
        <v>M R CAIN SCHOLARSHIP</v>
      </c>
      <c r="G472" s="473">
        <v>20214.34</v>
      </c>
      <c r="H472" s="474">
        <v>0</v>
      </c>
      <c r="I472" s="474">
        <v>-396.68</v>
      </c>
      <c r="J472" s="474">
        <v>1974.56</v>
      </c>
      <c r="K472" s="474">
        <v>791.34</v>
      </c>
      <c r="L472" s="474">
        <v>0</v>
      </c>
      <c r="M472" s="474">
        <f t="shared" si="16"/>
        <v>21000.88</v>
      </c>
    </row>
    <row r="473" spans="1:13" ht="12.75" outlineLevel="1">
      <c r="A473" s="424" t="s">
        <v>778</v>
      </c>
      <c r="C473" s="471"/>
      <c r="D473" s="471"/>
      <c r="E473" s="460" t="s">
        <v>779</v>
      </c>
      <c r="F473" s="472" t="str">
        <f t="shared" si="15"/>
        <v>CARLTON CIVIL ENGR</v>
      </c>
      <c r="G473" s="473">
        <v>74485.19</v>
      </c>
      <c r="H473" s="474">
        <v>900</v>
      </c>
      <c r="I473" s="474">
        <v>-1399.96</v>
      </c>
      <c r="J473" s="474">
        <v>7315.62</v>
      </c>
      <c r="K473" s="474">
        <v>0</v>
      </c>
      <c r="L473" s="474">
        <v>0</v>
      </c>
      <c r="M473" s="474">
        <f t="shared" si="16"/>
        <v>81300.84999999999</v>
      </c>
    </row>
    <row r="474" spans="1:13" ht="12.75" outlineLevel="1">
      <c r="A474" s="424" t="s">
        <v>780</v>
      </c>
      <c r="C474" s="471"/>
      <c r="D474" s="471"/>
      <c r="E474" s="460" t="s">
        <v>781</v>
      </c>
      <c r="F474" s="472" t="str">
        <f t="shared" si="15"/>
        <v>CARR SCHP CHEM ENGR</v>
      </c>
      <c r="G474" s="473">
        <v>42226.07</v>
      </c>
      <c r="H474" s="474">
        <v>5600</v>
      </c>
      <c r="I474" s="474">
        <v>-614.15</v>
      </c>
      <c r="J474" s="474">
        <v>4326.28</v>
      </c>
      <c r="K474" s="474">
        <v>0</v>
      </c>
      <c r="L474" s="474">
        <v>0</v>
      </c>
      <c r="M474" s="474">
        <f t="shared" si="16"/>
        <v>51538.2</v>
      </c>
    </row>
    <row r="475" spans="1:13" ht="12.75" outlineLevel="1">
      <c r="A475" s="424" t="s">
        <v>782</v>
      </c>
      <c r="C475" s="471"/>
      <c r="D475" s="471"/>
      <c r="E475" s="460" t="s">
        <v>783</v>
      </c>
      <c r="F475" s="472" t="str">
        <f t="shared" si="15"/>
        <v>CIV ENG ACH AWARD</v>
      </c>
      <c r="G475" s="473">
        <v>34241.73</v>
      </c>
      <c r="H475" s="474">
        <v>0</v>
      </c>
      <c r="I475" s="474">
        <v>-658.68</v>
      </c>
      <c r="J475" s="474">
        <v>3335.24</v>
      </c>
      <c r="K475" s="474">
        <v>0</v>
      </c>
      <c r="L475" s="474">
        <v>0</v>
      </c>
      <c r="M475" s="474">
        <f t="shared" si="16"/>
        <v>36918.29</v>
      </c>
    </row>
    <row r="476" spans="1:13" ht="12.75" outlineLevel="1">
      <c r="A476" s="424" t="s">
        <v>784</v>
      </c>
      <c r="C476" s="471"/>
      <c r="D476" s="471"/>
      <c r="E476" s="460" t="s">
        <v>785</v>
      </c>
      <c r="F476" s="472" t="str">
        <f t="shared" si="15"/>
        <v>COMP SCI ALUMNI SCHP</v>
      </c>
      <c r="G476" s="473">
        <v>134269.37</v>
      </c>
      <c r="H476" s="474">
        <v>0</v>
      </c>
      <c r="I476" s="474">
        <v>-2582.87</v>
      </c>
      <c r="J476" s="474">
        <v>13078.2</v>
      </c>
      <c r="K476" s="474">
        <v>0</v>
      </c>
      <c r="L476" s="474">
        <v>0</v>
      </c>
      <c r="M476" s="474">
        <f t="shared" si="16"/>
        <v>144764.7</v>
      </c>
    </row>
    <row r="477" spans="1:13" ht="12.75" outlineLevel="1">
      <c r="A477" s="424" t="s">
        <v>786</v>
      </c>
      <c r="C477" s="471"/>
      <c r="D477" s="471"/>
      <c r="E477" s="460" t="s">
        <v>787</v>
      </c>
      <c r="F477" s="472" t="str">
        <f t="shared" si="15"/>
        <v>P B &amp; J J DOYLE FUND</v>
      </c>
      <c r="G477" s="473">
        <v>171181.93</v>
      </c>
      <c r="H477" s="474">
        <v>0</v>
      </c>
      <c r="I477" s="474">
        <v>-3292.95</v>
      </c>
      <c r="J477" s="474">
        <v>16673.62</v>
      </c>
      <c r="K477" s="474">
        <v>0</v>
      </c>
      <c r="L477" s="474">
        <v>0</v>
      </c>
      <c r="M477" s="474">
        <f t="shared" si="16"/>
        <v>184562.59999999998</v>
      </c>
    </row>
    <row r="478" spans="1:13" ht="12.75" outlineLevel="1">
      <c r="A478" s="424" t="s">
        <v>788</v>
      </c>
      <c r="C478" s="471"/>
      <c r="D478" s="471"/>
      <c r="E478" s="460" t="s">
        <v>789</v>
      </c>
      <c r="F478" s="472" t="str">
        <f t="shared" si="15"/>
        <v>FRAME END SCHP</v>
      </c>
      <c r="G478" s="473">
        <v>32465.37</v>
      </c>
      <c r="H478" s="474">
        <v>0</v>
      </c>
      <c r="I478" s="474">
        <v>-624.52</v>
      </c>
      <c r="J478" s="474">
        <v>3162.22</v>
      </c>
      <c r="K478" s="474">
        <v>0</v>
      </c>
      <c r="L478" s="474">
        <v>0</v>
      </c>
      <c r="M478" s="474">
        <f t="shared" si="16"/>
        <v>35003.07</v>
      </c>
    </row>
    <row r="479" spans="1:13" ht="12.75" outlineLevel="1">
      <c r="A479" s="424" t="s">
        <v>790</v>
      </c>
      <c r="C479" s="471"/>
      <c r="D479" s="471"/>
      <c r="E479" s="460" t="s">
        <v>791</v>
      </c>
      <c r="F479" s="472" t="str">
        <f t="shared" si="15"/>
        <v>VAC GEVECKER SCHP</v>
      </c>
      <c r="G479" s="473">
        <v>43547.53</v>
      </c>
      <c r="H479" s="474">
        <v>250</v>
      </c>
      <c r="I479" s="474">
        <v>-749.7</v>
      </c>
      <c r="J479" s="474">
        <v>4266.1</v>
      </c>
      <c r="K479" s="474">
        <v>0</v>
      </c>
      <c r="L479" s="474">
        <v>0</v>
      </c>
      <c r="M479" s="474">
        <f t="shared" si="16"/>
        <v>47313.93</v>
      </c>
    </row>
    <row r="480" spans="1:13" ht="12.75" outlineLevel="1">
      <c r="A480" s="424" t="s">
        <v>792</v>
      </c>
      <c r="C480" s="471"/>
      <c r="D480" s="471"/>
      <c r="E480" s="460" t="s">
        <v>793</v>
      </c>
      <c r="F480" s="472" t="str">
        <f t="shared" si="15"/>
        <v>HATFIELD END SCHP</v>
      </c>
      <c r="G480" s="473">
        <v>908548.77</v>
      </c>
      <c r="H480" s="474">
        <v>0</v>
      </c>
      <c r="I480" s="474">
        <v>-17679.42</v>
      </c>
      <c r="J480" s="474">
        <v>88116.43</v>
      </c>
      <c r="K480" s="474">
        <v>5678.43</v>
      </c>
      <c r="L480" s="474">
        <v>0</v>
      </c>
      <c r="M480" s="474">
        <f t="shared" si="16"/>
        <v>973307.35</v>
      </c>
    </row>
    <row r="481" spans="1:13" ht="12.75" outlineLevel="1">
      <c r="A481" s="424" t="s">
        <v>794</v>
      </c>
      <c r="C481" s="471"/>
      <c r="D481" s="471"/>
      <c r="E481" s="460" t="s">
        <v>795</v>
      </c>
      <c r="F481" s="472" t="str">
        <f t="shared" si="15"/>
        <v>H R HANLEY SCHOLARSH</v>
      </c>
      <c r="G481" s="473">
        <v>33239.47</v>
      </c>
      <c r="H481" s="474">
        <v>0</v>
      </c>
      <c r="I481" s="474">
        <v>-639.41</v>
      </c>
      <c r="J481" s="474">
        <v>3237.61</v>
      </c>
      <c r="K481" s="474">
        <v>0</v>
      </c>
      <c r="L481" s="474">
        <v>0</v>
      </c>
      <c r="M481" s="474">
        <f t="shared" si="16"/>
        <v>35837.67</v>
      </c>
    </row>
    <row r="482" spans="1:13" ht="12.75" outlineLevel="1">
      <c r="A482" s="424" t="s">
        <v>796</v>
      </c>
      <c r="C482" s="471"/>
      <c r="D482" s="471"/>
      <c r="E482" s="460" t="s">
        <v>797</v>
      </c>
      <c r="F482" s="472" t="str">
        <f t="shared" si="15"/>
        <v>HAVENER SCHP</v>
      </c>
      <c r="G482" s="473">
        <v>260752.31</v>
      </c>
      <c r="H482" s="474">
        <v>0</v>
      </c>
      <c r="I482" s="474">
        <v>-5015.95</v>
      </c>
      <c r="J482" s="474">
        <v>25398.06</v>
      </c>
      <c r="K482" s="474">
        <v>0</v>
      </c>
      <c r="L482" s="474">
        <v>0</v>
      </c>
      <c r="M482" s="474">
        <f t="shared" si="16"/>
        <v>281134.42</v>
      </c>
    </row>
    <row r="483" spans="1:13" ht="12.75" outlineLevel="1">
      <c r="A483" s="424" t="s">
        <v>798</v>
      </c>
      <c r="C483" s="471"/>
      <c r="D483" s="471"/>
      <c r="E483" s="460" t="s">
        <v>799</v>
      </c>
      <c r="F483" s="472" t="str">
        <f t="shared" si="15"/>
        <v>HEAGLER CIV ENG SCH</v>
      </c>
      <c r="G483" s="473">
        <v>35678.98</v>
      </c>
      <c r="H483" s="474">
        <v>0</v>
      </c>
      <c r="I483" s="474">
        <v>-686.34</v>
      </c>
      <c r="J483" s="474">
        <v>3475.23</v>
      </c>
      <c r="K483" s="474">
        <v>0</v>
      </c>
      <c r="L483" s="474">
        <v>0</v>
      </c>
      <c r="M483" s="474">
        <f t="shared" si="16"/>
        <v>38467.87000000001</v>
      </c>
    </row>
    <row r="484" spans="1:13" ht="12.75" outlineLevel="1">
      <c r="A484" s="424" t="s">
        <v>800</v>
      </c>
      <c r="C484" s="471"/>
      <c r="D484" s="471"/>
      <c r="E484" s="460" t="s">
        <v>801</v>
      </c>
      <c r="F484" s="472" t="str">
        <f t="shared" si="15"/>
        <v>STONEHENGE SCHP</v>
      </c>
      <c r="G484" s="473">
        <v>20482.18</v>
      </c>
      <c r="H484" s="474">
        <v>0</v>
      </c>
      <c r="I484" s="474">
        <v>-393.99</v>
      </c>
      <c r="J484" s="474">
        <v>1995.01</v>
      </c>
      <c r="K484" s="474">
        <v>0</v>
      </c>
      <c r="L484" s="474">
        <v>0</v>
      </c>
      <c r="M484" s="474">
        <f t="shared" si="16"/>
        <v>22083.199999999997</v>
      </c>
    </row>
    <row r="485" spans="1:13" ht="12.75" outlineLevel="1">
      <c r="A485" s="424" t="s">
        <v>802</v>
      </c>
      <c r="C485" s="471"/>
      <c r="D485" s="471"/>
      <c r="E485" s="460" t="s">
        <v>803</v>
      </c>
      <c r="F485" s="472" t="str">
        <f t="shared" si="15"/>
        <v>J S JOHNSON SCHP</v>
      </c>
      <c r="G485" s="473">
        <v>9634.69</v>
      </c>
      <c r="H485" s="474">
        <v>0</v>
      </c>
      <c r="I485" s="474">
        <v>-185.34</v>
      </c>
      <c r="J485" s="474">
        <v>938.45</v>
      </c>
      <c r="K485" s="474">
        <v>0</v>
      </c>
      <c r="L485" s="474">
        <v>0</v>
      </c>
      <c r="M485" s="474">
        <f t="shared" si="16"/>
        <v>10387.800000000001</v>
      </c>
    </row>
    <row r="486" spans="1:13" ht="12.75" outlineLevel="1">
      <c r="A486" s="424" t="s">
        <v>804</v>
      </c>
      <c r="C486" s="471"/>
      <c r="D486" s="471"/>
      <c r="E486" s="460" t="s">
        <v>805</v>
      </c>
      <c r="F486" s="472" t="str">
        <f t="shared" si="15"/>
        <v>MATH &amp; STAT ALUM SCH</v>
      </c>
      <c r="G486" s="473">
        <v>60360.4</v>
      </c>
      <c r="H486" s="474">
        <v>0</v>
      </c>
      <c r="I486" s="474">
        <v>-1299.99</v>
      </c>
      <c r="J486" s="474">
        <v>5095.56</v>
      </c>
      <c r="K486" s="474">
        <v>0</v>
      </c>
      <c r="L486" s="474">
        <v>-12026.88</v>
      </c>
      <c r="M486" s="474">
        <f t="shared" si="16"/>
        <v>52129.090000000004</v>
      </c>
    </row>
    <row r="487" spans="1:13" ht="12.75" outlineLevel="1">
      <c r="A487" s="424" t="s">
        <v>806</v>
      </c>
      <c r="C487" s="471"/>
      <c r="D487" s="471"/>
      <c r="E487" s="460" t="s">
        <v>2010</v>
      </c>
      <c r="F487" s="472" t="str">
        <f t="shared" si="15"/>
        <v>MCBRIDE LOAN/SCHP</v>
      </c>
      <c r="G487" s="473">
        <v>5898238.46</v>
      </c>
      <c r="H487" s="474">
        <v>0</v>
      </c>
      <c r="I487" s="474">
        <v>-107468.72</v>
      </c>
      <c r="J487" s="474">
        <v>571105.74</v>
      </c>
      <c r="K487" s="474">
        <v>0</v>
      </c>
      <c r="L487" s="474">
        <v>134607.46</v>
      </c>
      <c r="M487" s="474">
        <f t="shared" si="16"/>
        <v>6496482.94</v>
      </c>
    </row>
    <row r="488" spans="1:13" ht="12.75" outlineLevel="1">
      <c r="A488" s="424" t="s">
        <v>807</v>
      </c>
      <c r="C488" s="471"/>
      <c r="D488" s="471"/>
      <c r="E488" s="460" t="s">
        <v>808</v>
      </c>
      <c r="F488" s="445" t="str">
        <f t="shared" si="15"/>
        <v>MCPHERSON FELLOWSHIP</v>
      </c>
      <c r="G488" s="521">
        <v>62366.65</v>
      </c>
      <c r="H488" s="474">
        <v>2100</v>
      </c>
      <c r="I488" s="474">
        <v>-1121.64</v>
      </c>
      <c r="J488" s="474">
        <v>6210.37</v>
      </c>
      <c r="K488" s="474">
        <v>0</v>
      </c>
      <c r="L488" s="474">
        <v>0</v>
      </c>
      <c r="M488" s="474">
        <f t="shared" si="16"/>
        <v>69555.38</v>
      </c>
    </row>
    <row r="489" spans="1:13" ht="12.75" outlineLevel="1">
      <c r="A489" s="424" t="s">
        <v>809</v>
      </c>
      <c r="C489" s="471"/>
      <c r="D489" s="471"/>
      <c r="E489" s="460" t="s">
        <v>810</v>
      </c>
      <c r="F489" s="445" t="str">
        <f t="shared" si="15"/>
        <v>NOLTE END FELLOWSHIP</v>
      </c>
      <c r="G489" s="521">
        <v>11160.97</v>
      </c>
      <c r="H489" s="474">
        <v>0</v>
      </c>
      <c r="I489" s="474">
        <v>-214.71</v>
      </c>
      <c r="J489" s="474">
        <v>1087.1</v>
      </c>
      <c r="K489" s="474">
        <v>0</v>
      </c>
      <c r="L489" s="474">
        <v>0</v>
      </c>
      <c r="M489" s="474">
        <f t="shared" si="16"/>
        <v>12033.36</v>
      </c>
    </row>
    <row r="490" spans="1:13" ht="12.75" outlineLevel="1">
      <c r="A490" s="424" t="s">
        <v>811</v>
      </c>
      <c r="C490" s="471"/>
      <c r="D490" s="471"/>
      <c r="E490" s="460" t="s">
        <v>812</v>
      </c>
      <c r="F490" s="472" t="str">
        <f t="shared" si="15"/>
        <v>NORBERT SCHMIDT FELL</v>
      </c>
      <c r="G490" s="473">
        <v>34421.18</v>
      </c>
      <c r="H490" s="474">
        <v>0</v>
      </c>
      <c r="I490" s="474">
        <v>-662.15</v>
      </c>
      <c r="J490" s="474">
        <v>3352.74</v>
      </c>
      <c r="K490" s="474">
        <v>0</v>
      </c>
      <c r="L490" s="474">
        <v>0</v>
      </c>
      <c r="M490" s="474">
        <f t="shared" si="16"/>
        <v>37111.77</v>
      </c>
    </row>
    <row r="491" spans="1:13" ht="12.75" outlineLevel="1">
      <c r="A491" s="424" t="s">
        <v>813</v>
      </c>
      <c r="C491" s="471"/>
      <c r="D491" s="471"/>
      <c r="E491" s="460" t="s">
        <v>814</v>
      </c>
      <c r="F491" s="472" t="str">
        <f t="shared" si="15"/>
        <v>SKITEK/HKN SCHP</v>
      </c>
      <c r="G491" s="473">
        <v>38191.45</v>
      </c>
      <c r="H491" s="474">
        <v>0</v>
      </c>
      <c r="I491" s="474">
        <v>-734.68</v>
      </c>
      <c r="J491" s="474">
        <v>3719.95</v>
      </c>
      <c r="K491" s="474">
        <v>0</v>
      </c>
      <c r="L491" s="474">
        <v>0</v>
      </c>
      <c r="M491" s="474">
        <f t="shared" si="16"/>
        <v>41176.719999999994</v>
      </c>
    </row>
    <row r="492" spans="1:13" ht="12.75" outlineLevel="1">
      <c r="A492" s="424" t="s">
        <v>815</v>
      </c>
      <c r="C492" s="471"/>
      <c r="D492" s="471"/>
      <c r="E492" s="460" t="s">
        <v>816</v>
      </c>
      <c r="F492" s="472" t="str">
        <f t="shared" si="15"/>
        <v>D THOMPSON FELLOW</v>
      </c>
      <c r="G492" s="473">
        <v>35989.45</v>
      </c>
      <c r="H492" s="474">
        <v>-327</v>
      </c>
      <c r="I492" s="474">
        <v>-689.67</v>
      </c>
      <c r="J492" s="474">
        <v>3508.11</v>
      </c>
      <c r="K492" s="474">
        <v>0</v>
      </c>
      <c r="L492" s="474">
        <v>0</v>
      </c>
      <c r="M492" s="474">
        <f t="shared" si="16"/>
        <v>38480.89</v>
      </c>
    </row>
    <row r="493" spans="1:13" ht="12.75" outlineLevel="1">
      <c r="A493" s="424" t="s">
        <v>817</v>
      </c>
      <c r="C493" s="471"/>
      <c r="D493" s="471"/>
      <c r="E493" s="460" t="s">
        <v>818</v>
      </c>
      <c r="F493" s="472" t="str">
        <f t="shared" si="15"/>
        <v>UMR CHEM ENGR GRAD</v>
      </c>
      <c r="G493" s="473">
        <v>139555.64</v>
      </c>
      <c r="H493" s="474">
        <v>0</v>
      </c>
      <c r="I493" s="474">
        <v>0</v>
      </c>
      <c r="J493" s="474">
        <v>-5860.59</v>
      </c>
      <c r="K493" s="474">
        <v>0</v>
      </c>
      <c r="L493" s="474">
        <v>0</v>
      </c>
      <c r="M493" s="474">
        <f t="shared" si="16"/>
        <v>133695.05000000002</v>
      </c>
    </row>
    <row r="494" spans="1:13" ht="12.75" outlineLevel="1">
      <c r="A494" s="424" t="s">
        <v>819</v>
      </c>
      <c r="C494" s="471"/>
      <c r="D494" s="471"/>
      <c r="E494" s="460" t="s">
        <v>820</v>
      </c>
      <c r="F494" s="472" t="str">
        <f t="shared" si="15"/>
        <v>WEI-WEN YU FELLOW</v>
      </c>
      <c r="G494" s="473">
        <v>89148.91</v>
      </c>
      <c r="H494" s="474">
        <v>0</v>
      </c>
      <c r="I494" s="474">
        <v>-1714.91</v>
      </c>
      <c r="J494" s="474">
        <v>8683.37</v>
      </c>
      <c r="K494" s="474">
        <v>0</v>
      </c>
      <c r="L494" s="474">
        <v>0</v>
      </c>
      <c r="M494" s="474">
        <f t="shared" si="16"/>
        <v>96117.37</v>
      </c>
    </row>
    <row r="495" spans="1:13" ht="12.75" outlineLevel="1">
      <c r="A495" s="424" t="s">
        <v>821</v>
      </c>
      <c r="C495" s="471"/>
      <c r="D495" s="471"/>
      <c r="E495" s="460" t="s">
        <v>822</v>
      </c>
      <c r="F495" s="472" t="str">
        <f t="shared" si="15"/>
        <v>ACADEMY OF MECH/AERO ENGR</v>
      </c>
      <c r="G495" s="473">
        <v>72035.71</v>
      </c>
      <c r="H495" s="474">
        <v>0</v>
      </c>
      <c r="I495" s="474">
        <v>-1306.72</v>
      </c>
      <c r="J495" s="474">
        <v>7024.32</v>
      </c>
      <c r="K495" s="474">
        <v>0</v>
      </c>
      <c r="L495" s="474">
        <v>0</v>
      </c>
      <c r="M495" s="474">
        <f t="shared" si="16"/>
        <v>77753.31</v>
      </c>
    </row>
    <row r="496" spans="1:13" ht="12.75" outlineLevel="1">
      <c r="A496" s="424" t="s">
        <v>823</v>
      </c>
      <c r="C496" s="471"/>
      <c r="D496" s="471"/>
      <c r="E496" s="460" t="s">
        <v>824</v>
      </c>
      <c r="F496" s="472" t="str">
        <f t="shared" si="15"/>
        <v>ALUMNI YOUNG FAC AWD</v>
      </c>
      <c r="G496" s="473">
        <v>109719.56</v>
      </c>
      <c r="H496" s="474">
        <v>0</v>
      </c>
      <c r="I496" s="474">
        <v>-2110.63</v>
      </c>
      <c r="J496" s="474">
        <v>10687.01</v>
      </c>
      <c r="K496" s="474">
        <v>0</v>
      </c>
      <c r="L496" s="474">
        <v>0</v>
      </c>
      <c r="M496" s="474">
        <f t="shared" si="16"/>
        <v>118295.93999999999</v>
      </c>
    </row>
    <row r="497" spans="1:13" ht="12.75" outlineLevel="1">
      <c r="A497" s="424" t="s">
        <v>825</v>
      </c>
      <c r="C497" s="471"/>
      <c r="D497" s="471"/>
      <c r="E497" s="460" t="s">
        <v>826</v>
      </c>
      <c r="F497" s="472" t="str">
        <f aca="true" t="shared" si="17" ref="F497:F523">UPPER(E497)</f>
        <v>CIV ENG FAC STF</v>
      </c>
      <c r="G497" s="473">
        <v>28203.31</v>
      </c>
      <c r="H497" s="474">
        <v>0</v>
      </c>
      <c r="I497" s="474">
        <v>-542.52</v>
      </c>
      <c r="J497" s="474">
        <v>2747.08</v>
      </c>
      <c r="K497" s="474">
        <v>0</v>
      </c>
      <c r="L497" s="474">
        <v>0</v>
      </c>
      <c r="M497" s="474">
        <f aca="true" t="shared" si="18" ref="M497:M523">G497+H497+I497+J497-K497+L497</f>
        <v>30407.870000000003</v>
      </c>
    </row>
    <row r="498" spans="1:13" ht="12.75" outlineLevel="1">
      <c r="A498" s="424" t="s">
        <v>827</v>
      </c>
      <c r="C498" s="471"/>
      <c r="D498" s="471"/>
      <c r="E498" s="460" t="s">
        <v>828</v>
      </c>
      <c r="F498" s="472" t="str">
        <f t="shared" si="17"/>
        <v>CIV ENG STU ACT END</v>
      </c>
      <c r="G498" s="473">
        <v>25141.5</v>
      </c>
      <c r="H498" s="474">
        <v>0</v>
      </c>
      <c r="I498" s="474">
        <v>-483.64</v>
      </c>
      <c r="J498" s="474">
        <v>2448.84</v>
      </c>
      <c r="K498" s="474">
        <v>0</v>
      </c>
      <c r="L498" s="474">
        <v>0</v>
      </c>
      <c r="M498" s="474">
        <f t="shared" si="18"/>
        <v>27106.7</v>
      </c>
    </row>
    <row r="499" spans="1:13" ht="12.75" outlineLevel="1">
      <c r="A499" s="424" t="s">
        <v>2476</v>
      </c>
      <c r="C499" s="471"/>
      <c r="D499" s="471"/>
      <c r="E499" s="460" t="s">
        <v>2477</v>
      </c>
      <c r="F499" s="472" t="str">
        <f t="shared" si="17"/>
        <v>ORDER GOLDEN END</v>
      </c>
      <c r="G499" s="473">
        <v>8.03</v>
      </c>
      <c r="H499" s="474">
        <v>0</v>
      </c>
      <c r="I499" s="474">
        <v>0</v>
      </c>
      <c r="J499" s="474">
        <v>0</v>
      </c>
      <c r="K499" s="474">
        <v>0</v>
      </c>
      <c r="L499" s="474">
        <v>0</v>
      </c>
      <c r="M499" s="474">
        <f t="shared" si="18"/>
        <v>8.03</v>
      </c>
    </row>
    <row r="500" spans="1:13" ht="12.75" outlineLevel="1">
      <c r="A500" s="424" t="s">
        <v>829</v>
      </c>
      <c r="C500" s="471"/>
      <c r="D500" s="471"/>
      <c r="E500" s="460" t="s">
        <v>830</v>
      </c>
      <c r="F500" s="472" t="str">
        <f t="shared" si="17"/>
        <v>DEV OFF QUASI ENDOW</v>
      </c>
      <c r="G500" s="473">
        <v>83411.51</v>
      </c>
      <c r="H500" s="474">
        <v>4988</v>
      </c>
      <c r="I500" s="474">
        <v>1502.53</v>
      </c>
      <c r="J500" s="474">
        <v>6933.02</v>
      </c>
      <c r="K500" s="474">
        <v>0</v>
      </c>
      <c r="L500" s="474">
        <v>-54439.8</v>
      </c>
      <c r="M500" s="474">
        <f t="shared" si="18"/>
        <v>42395.259999999995</v>
      </c>
    </row>
    <row r="501" spans="1:13" ht="12.75" outlineLevel="1">
      <c r="A501" s="424" t="s">
        <v>831</v>
      </c>
      <c r="C501" s="471"/>
      <c r="D501" s="471"/>
      <c r="E501" s="460" t="s">
        <v>832</v>
      </c>
      <c r="F501" s="472" t="str">
        <f t="shared" si="17"/>
        <v>SCHL ENGR END</v>
      </c>
      <c r="G501" s="473">
        <v>146446.43</v>
      </c>
      <c r="H501" s="474">
        <v>0</v>
      </c>
      <c r="I501" s="474">
        <v>-2810.53</v>
      </c>
      <c r="J501" s="474">
        <v>14264.96</v>
      </c>
      <c r="K501" s="474">
        <v>0</v>
      </c>
      <c r="L501" s="474">
        <v>0</v>
      </c>
      <c r="M501" s="474">
        <f t="shared" si="18"/>
        <v>157900.86</v>
      </c>
    </row>
    <row r="502" spans="1:13" ht="12.75" outlineLevel="1">
      <c r="A502" s="424" t="s">
        <v>833</v>
      </c>
      <c r="C502" s="471"/>
      <c r="D502" s="471"/>
      <c r="E502" s="460" t="s">
        <v>834</v>
      </c>
      <c r="F502" s="472" t="str">
        <f t="shared" si="17"/>
        <v>MECH ENGINEERING END</v>
      </c>
      <c r="G502" s="473">
        <v>1339941.04</v>
      </c>
      <c r="H502" s="474">
        <v>0</v>
      </c>
      <c r="I502" s="474">
        <v>-25775.79</v>
      </c>
      <c r="J502" s="474">
        <v>130514.13</v>
      </c>
      <c r="K502" s="474">
        <v>0</v>
      </c>
      <c r="L502" s="474">
        <v>0</v>
      </c>
      <c r="M502" s="474">
        <f t="shared" si="18"/>
        <v>1444679.38</v>
      </c>
    </row>
    <row r="503" spans="1:13" ht="12.75" outlineLevel="1">
      <c r="A503" s="424" t="s">
        <v>835</v>
      </c>
      <c r="C503" s="471"/>
      <c r="D503" s="471"/>
      <c r="E503" s="460" t="s">
        <v>836</v>
      </c>
      <c r="F503" s="472" t="str">
        <f t="shared" si="17"/>
        <v>HASSELMANN QUASI END</v>
      </c>
      <c r="G503" s="473">
        <v>1206710.44</v>
      </c>
      <c r="H503" s="474">
        <v>81250</v>
      </c>
      <c r="I503" s="474">
        <v>-46719.35</v>
      </c>
      <c r="J503" s="474">
        <v>41090.29</v>
      </c>
      <c r="K503" s="474">
        <v>0</v>
      </c>
      <c r="L503" s="474">
        <v>-1195633.08</v>
      </c>
      <c r="M503" s="474">
        <f t="shared" si="18"/>
        <v>86698.29999999981</v>
      </c>
    </row>
    <row r="504" spans="1:13" ht="12.75" outlineLevel="1">
      <c r="A504" s="424" t="s">
        <v>837</v>
      </c>
      <c r="C504" s="471"/>
      <c r="D504" s="471"/>
      <c r="E504" s="460" t="s">
        <v>838</v>
      </c>
      <c r="F504" s="472" t="str">
        <f t="shared" si="17"/>
        <v>R &amp; B HOOVER ENDOW</v>
      </c>
      <c r="G504" s="473">
        <v>162544.65</v>
      </c>
      <c r="H504" s="474">
        <v>0</v>
      </c>
      <c r="I504" s="474">
        <v>-3126.8</v>
      </c>
      <c r="J504" s="474">
        <v>15832.3</v>
      </c>
      <c r="K504" s="474">
        <v>0</v>
      </c>
      <c r="L504" s="474">
        <v>0</v>
      </c>
      <c r="M504" s="474">
        <f t="shared" si="18"/>
        <v>175250.15</v>
      </c>
    </row>
    <row r="505" spans="1:13" ht="12.75" outlineLevel="1">
      <c r="A505" s="424" t="s">
        <v>839</v>
      </c>
      <c r="C505" s="471"/>
      <c r="D505" s="471"/>
      <c r="E505" s="460" t="s">
        <v>840</v>
      </c>
      <c r="F505" s="472" t="str">
        <f t="shared" si="17"/>
        <v>KAPPA SIGMA ED FUND</v>
      </c>
      <c r="G505" s="473">
        <v>67444.79</v>
      </c>
      <c r="H505" s="474">
        <v>1315</v>
      </c>
      <c r="I505" s="474">
        <v>-1203.49</v>
      </c>
      <c r="J505" s="474">
        <v>6574.64</v>
      </c>
      <c r="K505" s="474">
        <v>0</v>
      </c>
      <c r="L505" s="474">
        <v>0</v>
      </c>
      <c r="M505" s="474">
        <f t="shared" si="18"/>
        <v>74130.93999999999</v>
      </c>
    </row>
    <row r="506" spans="1:13" ht="12.75" outlineLevel="1">
      <c r="A506" s="424" t="s">
        <v>841</v>
      </c>
      <c r="C506" s="471"/>
      <c r="D506" s="471"/>
      <c r="E506" s="460" t="s">
        <v>842</v>
      </c>
      <c r="F506" s="472" t="str">
        <f t="shared" si="17"/>
        <v>KOPLAR EXCEL TEACH</v>
      </c>
      <c r="G506" s="473">
        <v>156621.32</v>
      </c>
      <c r="H506" s="474">
        <v>0</v>
      </c>
      <c r="I506" s="474">
        <v>-2730.64</v>
      </c>
      <c r="J506" s="474">
        <v>15283.39</v>
      </c>
      <c r="K506" s="474">
        <v>0</v>
      </c>
      <c r="L506" s="474">
        <v>0</v>
      </c>
      <c r="M506" s="474">
        <f t="shared" si="18"/>
        <v>169174.07</v>
      </c>
    </row>
    <row r="507" spans="1:13" ht="12.75" outlineLevel="1">
      <c r="A507" s="424" t="s">
        <v>843</v>
      </c>
      <c r="C507" s="471"/>
      <c r="D507" s="471"/>
      <c r="E507" s="460" t="s">
        <v>844</v>
      </c>
      <c r="F507" s="472" t="str">
        <f t="shared" si="17"/>
        <v>MATH &amp; STAT CONTING</v>
      </c>
      <c r="G507" s="473">
        <v>18776.1</v>
      </c>
      <c r="H507" s="474">
        <v>100</v>
      </c>
      <c r="I507" s="474">
        <v>-360.18</v>
      </c>
      <c r="J507" s="474">
        <v>1828.16</v>
      </c>
      <c r="K507" s="474">
        <v>0</v>
      </c>
      <c r="L507" s="474">
        <v>0</v>
      </c>
      <c r="M507" s="474">
        <f t="shared" si="18"/>
        <v>20344.079999999998</v>
      </c>
    </row>
    <row r="508" spans="1:13" ht="12.75" outlineLevel="1">
      <c r="A508" s="424" t="s">
        <v>845</v>
      </c>
      <c r="C508" s="471"/>
      <c r="D508" s="471"/>
      <c r="E508" s="460" t="s">
        <v>846</v>
      </c>
      <c r="F508" s="472" t="str">
        <f t="shared" si="17"/>
        <v>NEWNAM ENDOWMENT</v>
      </c>
      <c r="G508" s="473">
        <v>33145.69</v>
      </c>
      <c r="H508" s="474">
        <v>0</v>
      </c>
      <c r="I508" s="474">
        <v>-637.62</v>
      </c>
      <c r="J508" s="474">
        <v>3228.49</v>
      </c>
      <c r="K508" s="474">
        <v>0</v>
      </c>
      <c r="L508" s="474">
        <v>0</v>
      </c>
      <c r="M508" s="474">
        <f t="shared" si="18"/>
        <v>35736.560000000005</v>
      </c>
    </row>
    <row r="509" spans="1:13" ht="12.75" outlineLevel="1">
      <c r="A509" s="424" t="s">
        <v>847</v>
      </c>
      <c r="C509" s="471"/>
      <c r="D509" s="471"/>
      <c r="E509" s="460" t="s">
        <v>848</v>
      </c>
      <c r="F509" s="472" t="str">
        <f t="shared" si="17"/>
        <v>L &amp; B SARCHET ENDOW</v>
      </c>
      <c r="G509" s="473">
        <v>37667.89</v>
      </c>
      <c r="H509" s="474">
        <v>0</v>
      </c>
      <c r="I509" s="474">
        <v>-724.61</v>
      </c>
      <c r="J509" s="474">
        <v>3668.96</v>
      </c>
      <c r="K509" s="474">
        <v>0</v>
      </c>
      <c r="L509" s="474">
        <v>0</v>
      </c>
      <c r="M509" s="474">
        <f t="shared" si="18"/>
        <v>40612.24</v>
      </c>
    </row>
    <row r="510" spans="1:13" ht="12.75" outlineLevel="1">
      <c r="A510" s="424" t="s">
        <v>849</v>
      </c>
      <c r="C510" s="471"/>
      <c r="D510" s="471"/>
      <c r="E510" s="460" t="s">
        <v>850</v>
      </c>
      <c r="F510" s="472" t="str">
        <f t="shared" si="17"/>
        <v>MINES &amp; METAL EQUIP</v>
      </c>
      <c r="G510" s="473">
        <v>1024983.8</v>
      </c>
      <c r="H510" s="474">
        <v>0</v>
      </c>
      <c r="I510" s="474">
        <v>-19717.12</v>
      </c>
      <c r="J510" s="474">
        <v>99836.38</v>
      </c>
      <c r="K510" s="474">
        <v>0</v>
      </c>
      <c r="L510" s="474">
        <v>0</v>
      </c>
      <c r="M510" s="474">
        <f t="shared" si="18"/>
        <v>1105103.06</v>
      </c>
    </row>
    <row r="511" spans="1:13" ht="12.75" outlineLevel="1">
      <c r="A511" s="424" t="s">
        <v>851</v>
      </c>
      <c r="C511" s="471"/>
      <c r="D511" s="471"/>
      <c r="E511" s="460" t="s">
        <v>852</v>
      </c>
      <c r="F511" s="472" t="str">
        <f t="shared" si="17"/>
        <v>UMR ACADEMY CE EQUIP</v>
      </c>
      <c r="G511" s="473">
        <v>54785.59</v>
      </c>
      <c r="H511" s="474">
        <v>0</v>
      </c>
      <c r="I511" s="474">
        <v>739.67</v>
      </c>
      <c r="J511" s="474">
        <v>-2244.41</v>
      </c>
      <c r="K511" s="474">
        <v>0</v>
      </c>
      <c r="L511" s="474">
        <v>0</v>
      </c>
      <c r="M511" s="474">
        <f t="shared" si="18"/>
        <v>53280.84999999999</v>
      </c>
    </row>
    <row r="512" spans="1:13" ht="12.75" outlineLevel="1">
      <c r="A512" s="424" t="s">
        <v>853</v>
      </c>
      <c r="C512" s="471"/>
      <c r="D512" s="471"/>
      <c r="E512" s="460" t="s">
        <v>854</v>
      </c>
      <c r="F512" s="472" t="str">
        <f t="shared" si="17"/>
        <v>UMR CHEM ENGR FAC</v>
      </c>
      <c r="G512" s="473">
        <v>66529.99</v>
      </c>
      <c r="H512" s="474">
        <v>0</v>
      </c>
      <c r="I512" s="474">
        <v>-1279.82</v>
      </c>
      <c r="J512" s="474">
        <v>6480.21</v>
      </c>
      <c r="K512" s="474">
        <v>0</v>
      </c>
      <c r="L512" s="474">
        <v>0</v>
      </c>
      <c r="M512" s="474">
        <f t="shared" si="18"/>
        <v>71730.38</v>
      </c>
    </row>
    <row r="513" spans="1:13" ht="12.75" outlineLevel="1">
      <c r="A513" s="424" t="s">
        <v>855</v>
      </c>
      <c r="C513" s="471"/>
      <c r="D513" s="471"/>
      <c r="E513" s="460" t="s">
        <v>856</v>
      </c>
      <c r="F513" s="472" t="str">
        <f t="shared" si="17"/>
        <v>UMR CHEM ENGR EQUIP</v>
      </c>
      <c r="G513" s="473">
        <v>347227.82</v>
      </c>
      <c r="H513" s="474">
        <v>3985</v>
      </c>
      <c r="I513" s="474">
        <v>-6602.5</v>
      </c>
      <c r="J513" s="474">
        <v>33785.57</v>
      </c>
      <c r="K513" s="474">
        <v>0</v>
      </c>
      <c r="L513" s="474">
        <v>0</v>
      </c>
      <c r="M513" s="474">
        <f t="shared" si="18"/>
        <v>378395.89</v>
      </c>
    </row>
    <row r="514" spans="1:13" ht="12.75" outlineLevel="1">
      <c r="A514" s="424" t="s">
        <v>857</v>
      </c>
      <c r="C514" s="471"/>
      <c r="D514" s="471"/>
      <c r="E514" s="460" t="s">
        <v>858</v>
      </c>
      <c r="F514" s="472" t="str">
        <f t="shared" si="17"/>
        <v>UMR CIVIL ENG EQUIP</v>
      </c>
      <c r="G514" s="473">
        <v>228306.61</v>
      </c>
      <c r="H514" s="474">
        <v>0</v>
      </c>
      <c r="I514" s="474">
        <v>-4388.93</v>
      </c>
      <c r="J514" s="474">
        <v>22238.01</v>
      </c>
      <c r="K514" s="474">
        <v>0</v>
      </c>
      <c r="L514" s="474">
        <v>0</v>
      </c>
      <c r="M514" s="474">
        <f t="shared" si="18"/>
        <v>246155.69</v>
      </c>
    </row>
    <row r="515" spans="1:13" ht="12.75" outlineLevel="1">
      <c r="A515" s="424" t="s">
        <v>859</v>
      </c>
      <c r="C515" s="471"/>
      <c r="D515" s="471"/>
      <c r="E515" s="460" t="s">
        <v>860</v>
      </c>
      <c r="F515" s="472" t="str">
        <f t="shared" si="17"/>
        <v>UMR ECE EQUIP FUND</v>
      </c>
      <c r="G515" s="473">
        <v>200611.45</v>
      </c>
      <c r="H515" s="474">
        <v>0</v>
      </c>
      <c r="I515" s="474">
        <v>-3859.06</v>
      </c>
      <c r="J515" s="474">
        <v>19540.14</v>
      </c>
      <c r="K515" s="474">
        <v>0</v>
      </c>
      <c r="L515" s="474">
        <v>0</v>
      </c>
      <c r="M515" s="474">
        <f t="shared" si="18"/>
        <v>216292.53000000003</v>
      </c>
    </row>
    <row r="516" spans="1:13" ht="12.75" outlineLevel="1">
      <c r="A516" s="424" t="s">
        <v>861</v>
      </c>
      <c r="C516" s="471"/>
      <c r="D516" s="471"/>
      <c r="E516" s="460" t="s">
        <v>862</v>
      </c>
      <c r="F516" s="472" t="str">
        <f t="shared" si="17"/>
        <v>UMR ENDOW PER ARTS</v>
      </c>
      <c r="G516" s="473">
        <v>835711.3</v>
      </c>
      <c r="H516" s="474">
        <v>90</v>
      </c>
      <c r="I516" s="474">
        <v>-14171.29</v>
      </c>
      <c r="J516" s="474">
        <v>81435.09</v>
      </c>
      <c r="K516" s="474">
        <v>0</v>
      </c>
      <c r="L516" s="474">
        <v>0</v>
      </c>
      <c r="M516" s="474">
        <f t="shared" si="18"/>
        <v>903065.1</v>
      </c>
    </row>
    <row r="517" spans="1:13" ht="12.75" outlineLevel="1">
      <c r="A517" s="424" t="s">
        <v>863</v>
      </c>
      <c r="C517" s="471"/>
      <c r="D517" s="471"/>
      <c r="E517" s="460" t="s">
        <v>864</v>
      </c>
      <c r="F517" s="472" t="str">
        <f t="shared" si="17"/>
        <v>UMR MEM SCHP FD</v>
      </c>
      <c r="G517" s="473">
        <v>71524.38</v>
      </c>
      <c r="H517" s="474">
        <v>0</v>
      </c>
      <c r="I517" s="474">
        <v>-1375.88</v>
      </c>
      <c r="J517" s="474">
        <v>6966.68</v>
      </c>
      <c r="K517" s="474">
        <v>0</v>
      </c>
      <c r="L517" s="474">
        <v>0</v>
      </c>
      <c r="M517" s="474">
        <f t="shared" si="18"/>
        <v>77115.18</v>
      </c>
    </row>
    <row r="518" spans="1:13" ht="12.75" outlineLevel="1">
      <c r="A518" s="424" t="s">
        <v>865</v>
      </c>
      <c r="C518" s="471"/>
      <c r="D518" s="471"/>
      <c r="E518" s="460" t="s">
        <v>866</v>
      </c>
      <c r="F518" s="472" t="str">
        <f t="shared" si="17"/>
        <v>SINEATH PACKAGING EN</v>
      </c>
      <c r="G518" s="473">
        <v>113591.55</v>
      </c>
      <c r="H518" s="474">
        <v>0</v>
      </c>
      <c r="I518" s="474">
        <v>1544.2</v>
      </c>
      <c r="J518" s="474">
        <v>-4653.07</v>
      </c>
      <c r="K518" s="474">
        <v>0</v>
      </c>
      <c r="L518" s="474">
        <v>0</v>
      </c>
      <c r="M518" s="474">
        <f t="shared" si="18"/>
        <v>110482.68</v>
      </c>
    </row>
    <row r="519" spans="1:13" ht="12.75" outlineLevel="1">
      <c r="A519" s="424" t="s">
        <v>867</v>
      </c>
      <c r="C519" s="471"/>
      <c r="D519" s="471"/>
      <c r="E519" s="460" t="s">
        <v>868</v>
      </c>
      <c r="F519" s="472" t="str">
        <f t="shared" si="17"/>
        <v>GRAINGER AWARDS</v>
      </c>
      <c r="G519" s="473">
        <v>3606.7</v>
      </c>
      <c r="H519" s="474">
        <v>0</v>
      </c>
      <c r="I519" s="474">
        <v>-69.38</v>
      </c>
      <c r="J519" s="474">
        <v>351.3</v>
      </c>
      <c r="K519" s="474">
        <v>0</v>
      </c>
      <c r="L519" s="474">
        <v>0</v>
      </c>
      <c r="M519" s="474">
        <f t="shared" si="18"/>
        <v>3888.62</v>
      </c>
    </row>
    <row r="520" spans="1:13" ht="12.75" outlineLevel="1">
      <c r="A520" s="424" t="s">
        <v>869</v>
      </c>
      <c r="C520" s="471"/>
      <c r="D520" s="471"/>
      <c r="E520" s="460" t="s">
        <v>870</v>
      </c>
      <c r="F520" s="472" t="str">
        <f t="shared" si="17"/>
        <v>MOORE MEMORIAL SCHOLARSHIP</v>
      </c>
      <c r="G520" s="473">
        <v>0</v>
      </c>
      <c r="H520" s="474">
        <v>16771.67</v>
      </c>
      <c r="I520" s="474">
        <v>165.74</v>
      </c>
      <c r="J520" s="474">
        <v>-119.08</v>
      </c>
      <c r="K520" s="474">
        <v>0</v>
      </c>
      <c r="L520" s="474">
        <v>0</v>
      </c>
      <c r="M520" s="474">
        <f t="shared" si="18"/>
        <v>16818.329999999998</v>
      </c>
    </row>
    <row r="521" spans="1:13" ht="12.75" outlineLevel="1">
      <c r="A521" s="424" t="s">
        <v>871</v>
      </c>
      <c r="C521" s="471"/>
      <c r="D521" s="471"/>
      <c r="E521" s="460" t="s">
        <v>872</v>
      </c>
      <c r="F521" s="472" t="str">
        <f t="shared" si="17"/>
        <v>ISDC DEVELOPMENT</v>
      </c>
      <c r="G521" s="473">
        <v>183.14</v>
      </c>
      <c r="H521" s="474">
        <v>0</v>
      </c>
      <c r="I521" s="474">
        <v>0</v>
      </c>
      <c r="J521" s="474">
        <v>0</v>
      </c>
      <c r="K521" s="474">
        <v>0</v>
      </c>
      <c r="L521" s="474">
        <v>0</v>
      </c>
      <c r="M521" s="474">
        <f t="shared" si="18"/>
        <v>183.14</v>
      </c>
    </row>
    <row r="522" spans="1:13" ht="12.75" outlineLevel="1">
      <c r="A522" s="424" t="s">
        <v>873</v>
      </c>
      <c r="C522" s="471"/>
      <c r="D522" s="471"/>
      <c r="E522" s="460" t="s">
        <v>874</v>
      </c>
      <c r="F522" s="472" t="str">
        <f t="shared" si="17"/>
        <v>CHANCELLOR'S CAMPAIGN CHALLENG</v>
      </c>
      <c r="G522" s="473">
        <v>0</v>
      </c>
      <c r="H522" s="474">
        <v>0</v>
      </c>
      <c r="I522" s="474">
        <v>0</v>
      </c>
      <c r="J522" s="474">
        <v>0</v>
      </c>
      <c r="K522" s="474">
        <v>0</v>
      </c>
      <c r="L522" s="474">
        <v>0</v>
      </c>
      <c r="M522" s="474">
        <f t="shared" si="18"/>
        <v>0</v>
      </c>
    </row>
    <row r="523" spans="1:15" s="462" customFormat="1" ht="12.75" customHeight="1">
      <c r="A523" s="462" t="s">
        <v>875</v>
      </c>
      <c r="B523" s="458"/>
      <c r="C523" s="459"/>
      <c r="D523" s="459"/>
      <c r="E523" s="463" t="s">
        <v>759</v>
      </c>
      <c r="F523" s="524" t="str">
        <f t="shared" si="17"/>
        <v>TOTAL INCOME RESTRICTED</v>
      </c>
      <c r="G523" s="525">
        <v>15092136.610000003</v>
      </c>
      <c r="H523" s="526">
        <v>141012.06</v>
      </c>
      <c r="I523" s="526">
        <v>-293761.41</v>
      </c>
      <c r="J523" s="526">
        <v>1343531.02</v>
      </c>
      <c r="K523" s="526">
        <v>6469.77</v>
      </c>
      <c r="L523" s="526">
        <v>-1183949.18</v>
      </c>
      <c r="M523" s="526">
        <f t="shared" si="18"/>
        <v>15092499.330000004</v>
      </c>
      <c r="N523" s="527"/>
      <c r="O523" s="528"/>
    </row>
    <row r="524" ht="12.75" customHeight="1"/>
    <row r="525" spans="3:4" ht="12.75" customHeight="1">
      <c r="C525" s="459" t="s">
        <v>876</v>
      </c>
      <c r="D525" s="459"/>
    </row>
    <row r="526" spans="1:13" ht="12.75" outlineLevel="1">
      <c r="A526" s="424" t="s">
        <v>877</v>
      </c>
      <c r="C526" s="471"/>
      <c r="D526" s="471"/>
      <c r="E526" s="460" t="s">
        <v>878</v>
      </c>
      <c r="F526" s="472" t="str">
        <f>UPPER(E526)</f>
        <v>BIOLOGICAL SCIENCES RESEARCH</v>
      </c>
      <c r="G526" s="473">
        <v>10040.6</v>
      </c>
      <c r="H526" s="474">
        <v>0</v>
      </c>
      <c r="I526" s="474">
        <v>432.92</v>
      </c>
      <c r="J526" s="474">
        <v>844.63</v>
      </c>
      <c r="K526" s="474">
        <v>0</v>
      </c>
      <c r="L526" s="474">
        <v>10000</v>
      </c>
      <c r="M526" s="474">
        <f>G526+H526+I526+J526-K526+L526</f>
        <v>21318.15</v>
      </c>
    </row>
    <row r="527" spans="1:15" s="462" customFormat="1" ht="12.75" customHeight="1">
      <c r="A527" s="462" t="s">
        <v>879</v>
      </c>
      <c r="B527" s="458"/>
      <c r="C527" s="459"/>
      <c r="D527" s="459"/>
      <c r="E527" s="463" t="s">
        <v>880</v>
      </c>
      <c r="F527" s="524" t="str">
        <f>UPPER(E527)</f>
        <v>TOTAL INCOME UNRESTRICTED</v>
      </c>
      <c r="G527" s="525">
        <v>10040.6</v>
      </c>
      <c r="H527" s="526">
        <v>0</v>
      </c>
      <c r="I527" s="526">
        <v>432.92</v>
      </c>
      <c r="J527" s="526">
        <v>844.63</v>
      </c>
      <c r="K527" s="526">
        <v>0</v>
      </c>
      <c r="L527" s="526">
        <v>10000</v>
      </c>
      <c r="M527" s="532">
        <f>G527+H527+I527+J527-K527+L527</f>
        <v>21318.15</v>
      </c>
      <c r="N527" s="527"/>
      <c r="O527" s="528"/>
    </row>
    <row r="528" ht="12.75" customHeight="1">
      <c r="M528" s="533"/>
    </row>
    <row r="529" spans="2:15" s="462" customFormat="1" ht="12.75" customHeight="1">
      <c r="B529" s="458"/>
      <c r="C529" s="459"/>
      <c r="D529" s="459"/>
      <c r="E529" s="459"/>
      <c r="F529" s="530" t="s">
        <v>881</v>
      </c>
      <c r="G529" s="525">
        <f aca="true" t="shared" si="19" ref="G529:M529">G523+G527</f>
        <v>15102177.210000003</v>
      </c>
      <c r="H529" s="526">
        <f t="shared" si="19"/>
        <v>141012.06</v>
      </c>
      <c r="I529" s="526">
        <f t="shared" si="19"/>
        <v>-293328.49</v>
      </c>
      <c r="J529" s="526">
        <f t="shared" si="19"/>
        <v>1344375.65</v>
      </c>
      <c r="K529" s="526">
        <f t="shared" si="19"/>
        <v>6469.77</v>
      </c>
      <c r="L529" s="526">
        <f t="shared" si="19"/>
        <v>-1173949.18</v>
      </c>
      <c r="M529" s="526">
        <f t="shared" si="19"/>
        <v>15113817.480000004</v>
      </c>
      <c r="N529" s="527"/>
      <c r="O529" s="528"/>
    </row>
    <row r="530" ht="12.75" customHeight="1"/>
    <row r="531" ht="12.75" customHeight="1">
      <c r="B531" s="458" t="s">
        <v>882</v>
      </c>
    </row>
    <row r="532" spans="3:4" ht="12.75" customHeight="1">
      <c r="C532" s="459" t="s">
        <v>883</v>
      </c>
      <c r="D532" s="459"/>
    </row>
    <row r="533" spans="1:13" ht="12.75" outlineLevel="1">
      <c r="A533" s="424" t="s">
        <v>884</v>
      </c>
      <c r="C533" s="471"/>
      <c r="D533" s="471"/>
      <c r="E533" s="460" t="s">
        <v>885</v>
      </c>
      <c r="F533" s="472" t="str">
        <f aca="true" t="shared" si="20" ref="F533:F539">UPPER(E533)</f>
        <v>ANDERSON CHAR REM TR</v>
      </c>
      <c r="G533" s="473">
        <v>72947.99</v>
      </c>
      <c r="H533" s="474">
        <v>0</v>
      </c>
      <c r="I533" s="474">
        <v>1917.94</v>
      </c>
      <c r="J533" s="474">
        <v>2509.62</v>
      </c>
      <c r="K533" s="474">
        <v>4317.07</v>
      </c>
      <c r="L533" s="474">
        <v>0</v>
      </c>
      <c r="M533" s="474">
        <f aca="true" t="shared" si="21" ref="M533:M539">G533+H533+I533+J533-K533+L533</f>
        <v>73058.48000000001</v>
      </c>
    </row>
    <row r="534" spans="1:13" ht="12.75" outlineLevel="1">
      <c r="A534" s="424" t="s">
        <v>886</v>
      </c>
      <c r="C534" s="471"/>
      <c r="D534" s="471"/>
      <c r="E534" s="460" t="s">
        <v>887</v>
      </c>
      <c r="F534" s="472" t="str">
        <f t="shared" si="20"/>
        <v>K W ANDREWS C R T</v>
      </c>
      <c r="G534" s="473">
        <v>51681.11</v>
      </c>
      <c r="H534" s="474">
        <v>0</v>
      </c>
      <c r="I534" s="474">
        <v>1367.08</v>
      </c>
      <c r="J534" s="474">
        <v>1799.32</v>
      </c>
      <c r="K534" s="474">
        <v>2634.93</v>
      </c>
      <c r="L534" s="474">
        <v>0</v>
      </c>
      <c r="M534" s="474">
        <f t="shared" si="21"/>
        <v>52212.58</v>
      </c>
    </row>
    <row r="535" spans="1:13" ht="12.75" outlineLevel="1">
      <c r="A535" s="424" t="s">
        <v>888</v>
      </c>
      <c r="C535" s="471"/>
      <c r="D535" s="471"/>
      <c r="E535" s="460" t="s">
        <v>889</v>
      </c>
      <c r="F535" s="472" t="str">
        <f t="shared" si="20"/>
        <v>DESJARDINS ANN TRUST</v>
      </c>
      <c r="G535" s="473">
        <v>108076.72</v>
      </c>
      <c r="H535" s="474">
        <v>0</v>
      </c>
      <c r="I535" s="474">
        <v>3731.39</v>
      </c>
      <c r="J535" s="474">
        <v>-1008.94</v>
      </c>
      <c r="K535" s="474">
        <v>10631.68</v>
      </c>
      <c r="L535" s="474">
        <v>0</v>
      </c>
      <c r="M535" s="474">
        <f t="shared" si="21"/>
        <v>100167.48999999999</v>
      </c>
    </row>
    <row r="536" spans="1:13" ht="12.75" outlineLevel="1">
      <c r="A536" s="424" t="s">
        <v>890</v>
      </c>
      <c r="C536" s="471"/>
      <c r="D536" s="471"/>
      <c r="E536" s="460" t="s">
        <v>891</v>
      </c>
      <c r="F536" s="445" t="str">
        <f t="shared" si="20"/>
        <v>THOMAS STEWART UNITR</v>
      </c>
      <c r="G536" s="521">
        <v>487009.66</v>
      </c>
      <c r="H536" s="474">
        <v>0</v>
      </c>
      <c r="I536" s="474">
        <v>11961.81</v>
      </c>
      <c r="J536" s="474">
        <v>48136.52</v>
      </c>
      <c r="K536" s="474">
        <v>35457.97</v>
      </c>
      <c r="L536" s="474">
        <v>0</v>
      </c>
      <c r="M536" s="474">
        <f t="shared" si="21"/>
        <v>511650.02</v>
      </c>
    </row>
    <row r="537" spans="1:13" ht="12.75" outlineLevel="1">
      <c r="A537" s="424" t="s">
        <v>892</v>
      </c>
      <c r="C537" s="471"/>
      <c r="D537" s="471"/>
      <c r="E537" s="460" t="s">
        <v>893</v>
      </c>
      <c r="F537" s="445" t="str">
        <f t="shared" si="20"/>
        <v>T JAMES STEWART, JR</v>
      </c>
      <c r="G537" s="521">
        <v>538544.26</v>
      </c>
      <c r="H537" s="474">
        <v>0</v>
      </c>
      <c r="I537" s="474">
        <v>14077.26</v>
      </c>
      <c r="J537" s="474">
        <v>18703.98</v>
      </c>
      <c r="K537" s="474">
        <v>38431.21</v>
      </c>
      <c r="L537" s="474">
        <v>0</v>
      </c>
      <c r="M537" s="474">
        <f t="shared" si="21"/>
        <v>532894.29</v>
      </c>
    </row>
    <row r="538" spans="1:13" ht="12.75" outlineLevel="1">
      <c r="A538" s="424" t="s">
        <v>894</v>
      </c>
      <c r="C538" s="471"/>
      <c r="D538" s="471"/>
      <c r="E538" s="460" t="s">
        <v>895</v>
      </c>
      <c r="F538" s="472" t="str">
        <f t="shared" si="20"/>
        <v>HORST CHARITABLE REMAINDER</v>
      </c>
      <c r="G538" s="473">
        <v>182983.51</v>
      </c>
      <c r="H538" s="474">
        <v>64031</v>
      </c>
      <c r="I538" s="474">
        <v>5955.26</v>
      </c>
      <c r="J538" s="474">
        <v>7727.1</v>
      </c>
      <c r="K538" s="474">
        <v>13583.49</v>
      </c>
      <c r="L538" s="474">
        <v>0</v>
      </c>
      <c r="M538" s="474">
        <f t="shared" si="21"/>
        <v>247113.38000000003</v>
      </c>
    </row>
    <row r="539" spans="1:15" s="462" customFormat="1" ht="12.75" customHeight="1">
      <c r="A539" s="462" t="s">
        <v>896</v>
      </c>
      <c r="B539" s="458"/>
      <c r="C539" s="459"/>
      <c r="D539" s="459"/>
      <c r="E539" s="515" t="s">
        <v>897</v>
      </c>
      <c r="F539" s="524" t="str">
        <f t="shared" si="20"/>
        <v>TOTAL UNITRUST FUNDS</v>
      </c>
      <c r="G539" s="525">
        <v>1441243.25</v>
      </c>
      <c r="H539" s="526">
        <v>64031</v>
      </c>
      <c r="I539" s="526">
        <v>39010.74</v>
      </c>
      <c r="J539" s="526">
        <v>77867.6</v>
      </c>
      <c r="K539" s="526">
        <v>105056.35</v>
      </c>
      <c r="L539" s="526">
        <v>0</v>
      </c>
      <c r="M539" s="526">
        <f t="shared" si="21"/>
        <v>1517096.24</v>
      </c>
      <c r="N539" s="527"/>
      <c r="O539" s="528"/>
    </row>
    <row r="540" ht="12.75" customHeight="1">
      <c r="G540" s="518"/>
    </row>
    <row r="541" spans="1:7" ht="12.75" customHeight="1">
      <c r="A541" s="424" t="s">
        <v>2792</v>
      </c>
      <c r="C541" s="459" t="s">
        <v>898</v>
      </c>
      <c r="D541" s="459"/>
      <c r="G541" s="518"/>
    </row>
    <row r="542" spans="1:13" ht="12.75" outlineLevel="1">
      <c r="A542" s="424" t="s">
        <v>899</v>
      </c>
      <c r="C542" s="471"/>
      <c r="D542" s="471"/>
      <c r="E542" s="460" t="s">
        <v>900</v>
      </c>
      <c r="F542" s="472" t="str">
        <f aca="true" t="shared" si="22" ref="F542:F549">UPPER(E542)</f>
        <v>CRUM POOLED INCOME</v>
      </c>
      <c r="G542" s="473">
        <v>375.4</v>
      </c>
      <c r="H542" s="474">
        <v>0</v>
      </c>
      <c r="I542" s="474">
        <v>-375.4</v>
      </c>
      <c r="J542" s="474">
        <v>0</v>
      </c>
      <c r="K542" s="474">
        <v>0</v>
      </c>
      <c r="L542" s="474">
        <v>0</v>
      </c>
      <c r="M542" s="474">
        <f aca="true" t="shared" si="23" ref="M542:M549">G542+H542+I542+J542-K542+L542</f>
        <v>0</v>
      </c>
    </row>
    <row r="543" spans="1:13" ht="12.75" outlineLevel="1">
      <c r="A543" s="424" t="s">
        <v>901</v>
      </c>
      <c r="C543" s="471"/>
      <c r="D543" s="471"/>
      <c r="E543" s="460" t="s">
        <v>902</v>
      </c>
      <c r="F543" s="472" t="str">
        <f t="shared" si="22"/>
        <v>G HARR LIFE INCOME</v>
      </c>
      <c r="G543" s="473">
        <v>1.94</v>
      </c>
      <c r="H543" s="474">
        <v>0</v>
      </c>
      <c r="I543" s="474">
        <v>0</v>
      </c>
      <c r="J543" s="474">
        <v>0</v>
      </c>
      <c r="K543" s="474">
        <v>0</v>
      </c>
      <c r="L543" s="474">
        <v>0</v>
      </c>
      <c r="M543" s="474">
        <f t="shared" si="23"/>
        <v>1.94</v>
      </c>
    </row>
    <row r="544" spans="1:13" ht="12.75" outlineLevel="1">
      <c r="A544" s="424" t="s">
        <v>903</v>
      </c>
      <c r="C544" s="471"/>
      <c r="D544" s="471"/>
      <c r="E544" s="460" t="s">
        <v>904</v>
      </c>
      <c r="F544" s="472" t="str">
        <f t="shared" si="22"/>
        <v>KAMPER POOLED INCOME</v>
      </c>
      <c r="G544" s="473">
        <v>20584.97</v>
      </c>
      <c r="H544" s="474">
        <v>0</v>
      </c>
      <c r="I544" s="474">
        <v>554.86</v>
      </c>
      <c r="J544" s="474">
        <v>-421.91</v>
      </c>
      <c r="K544" s="474">
        <v>747.92</v>
      </c>
      <c r="L544" s="474">
        <v>0</v>
      </c>
      <c r="M544" s="474">
        <f t="shared" si="23"/>
        <v>19970.000000000004</v>
      </c>
    </row>
    <row r="545" spans="1:13" ht="12.75" outlineLevel="1">
      <c r="A545" s="424" t="s">
        <v>905</v>
      </c>
      <c r="C545" s="471"/>
      <c r="D545" s="471"/>
      <c r="E545" s="460" t="s">
        <v>906</v>
      </c>
      <c r="F545" s="472" t="str">
        <f t="shared" si="22"/>
        <v>KOEPPEL POOLED INC</v>
      </c>
      <c r="G545" s="473">
        <v>99845.36</v>
      </c>
      <c r="H545" s="474">
        <v>0</v>
      </c>
      <c r="I545" s="474">
        <v>2691.35</v>
      </c>
      <c r="J545" s="474">
        <v>-2046.15</v>
      </c>
      <c r="K545" s="474">
        <v>3627.74</v>
      </c>
      <c r="L545" s="474">
        <v>0</v>
      </c>
      <c r="M545" s="474">
        <f t="shared" si="23"/>
        <v>96862.82</v>
      </c>
    </row>
    <row r="546" spans="1:13" ht="12.75" outlineLevel="1">
      <c r="A546" s="424" t="s">
        <v>907</v>
      </c>
      <c r="C546" s="471"/>
      <c r="D546" s="471"/>
      <c r="E546" s="460" t="s">
        <v>908</v>
      </c>
      <c r="F546" s="472" t="str">
        <f t="shared" si="22"/>
        <v>MARKLEY POOLED INC</v>
      </c>
      <c r="G546" s="473">
        <v>39772.56</v>
      </c>
      <c r="H546" s="474">
        <v>0</v>
      </c>
      <c r="I546" s="474">
        <v>1072.05</v>
      </c>
      <c r="J546" s="474">
        <v>-815.17</v>
      </c>
      <c r="K546" s="474">
        <v>1445.11</v>
      </c>
      <c r="L546" s="474">
        <v>0</v>
      </c>
      <c r="M546" s="474">
        <f t="shared" si="23"/>
        <v>38584.33</v>
      </c>
    </row>
    <row r="547" spans="1:13" ht="12.75" outlineLevel="1">
      <c r="A547" s="424" t="s">
        <v>909</v>
      </c>
      <c r="C547" s="471"/>
      <c r="D547" s="471"/>
      <c r="E547" s="460" t="s">
        <v>910</v>
      </c>
      <c r="F547" s="472" t="str">
        <f t="shared" si="22"/>
        <v>PFEIFER POOLED INC</v>
      </c>
      <c r="G547" s="473">
        <v>29372.96</v>
      </c>
      <c r="H547" s="474">
        <v>0</v>
      </c>
      <c r="I547" s="474">
        <v>764.84</v>
      </c>
      <c r="J547" s="474">
        <v>-3125.61</v>
      </c>
      <c r="K547" s="474">
        <v>1067.1</v>
      </c>
      <c r="L547" s="474">
        <v>0</v>
      </c>
      <c r="M547" s="474">
        <f t="shared" si="23"/>
        <v>25945.09</v>
      </c>
    </row>
    <row r="548" spans="1:13" ht="12.75" outlineLevel="1">
      <c r="A548" s="424" t="s">
        <v>911</v>
      </c>
      <c r="C548" s="471"/>
      <c r="D548" s="471"/>
      <c r="E548" s="460" t="s">
        <v>912</v>
      </c>
      <c r="F548" s="472" t="str">
        <f t="shared" si="22"/>
        <v>NEUSTAEDTER P I F</v>
      </c>
      <c r="G548" s="473">
        <v>115432.46</v>
      </c>
      <c r="H548" s="474">
        <v>0</v>
      </c>
      <c r="I548" s="474">
        <v>3138.39</v>
      </c>
      <c r="J548" s="474">
        <v>158.08</v>
      </c>
      <c r="K548" s="474">
        <v>4194.19</v>
      </c>
      <c r="L548" s="474">
        <v>0</v>
      </c>
      <c r="M548" s="474">
        <f t="shared" si="23"/>
        <v>114534.74</v>
      </c>
    </row>
    <row r="549" spans="1:15" s="462" customFormat="1" ht="12.75" customHeight="1">
      <c r="A549" s="462" t="s">
        <v>913</v>
      </c>
      <c r="B549" s="458"/>
      <c r="C549" s="459"/>
      <c r="D549" s="459"/>
      <c r="E549" s="515" t="s">
        <v>914</v>
      </c>
      <c r="F549" s="524" t="str">
        <f t="shared" si="22"/>
        <v>TOTAL LIFE INCOME FUNDS</v>
      </c>
      <c r="G549" s="525">
        <v>305385.65</v>
      </c>
      <c r="H549" s="526">
        <v>0</v>
      </c>
      <c r="I549" s="526">
        <v>7846.21</v>
      </c>
      <c r="J549" s="526">
        <v>-6250.76</v>
      </c>
      <c r="K549" s="526">
        <v>11082.06</v>
      </c>
      <c r="L549" s="526">
        <v>0</v>
      </c>
      <c r="M549" s="526">
        <f t="shared" si="23"/>
        <v>295899.04000000004</v>
      </c>
      <c r="N549" s="527"/>
      <c r="O549" s="528"/>
    </row>
    <row r="550" ht="12.75" customHeight="1"/>
    <row r="551" ht="12.75" customHeight="1">
      <c r="C551" s="459" t="s">
        <v>915</v>
      </c>
    </row>
    <row r="552" spans="1:15" s="462" customFormat="1" ht="12.75" customHeight="1">
      <c r="A552" s="462" t="s">
        <v>916</v>
      </c>
      <c r="B552" s="458"/>
      <c r="C552" s="459"/>
      <c r="D552" s="459"/>
      <c r="E552" s="463" t="s">
        <v>917</v>
      </c>
      <c r="F552" s="524" t="str">
        <f>UPPER(E552)</f>
        <v>TOTAL CHARITABLE GIFT ANNUITY FUNDS</v>
      </c>
      <c r="G552" s="525">
        <v>0</v>
      </c>
      <c r="H552" s="526">
        <v>0</v>
      </c>
      <c r="I552" s="526">
        <v>0</v>
      </c>
      <c r="J552" s="526">
        <v>0</v>
      </c>
      <c r="K552" s="526">
        <v>0</v>
      </c>
      <c r="L552" s="526">
        <v>0</v>
      </c>
      <c r="M552" s="526">
        <f>G552+H552+I552+J552-K552+L552</f>
        <v>0</v>
      </c>
      <c r="N552" s="527"/>
      <c r="O552" s="528"/>
    </row>
    <row r="553" ht="12.75" customHeight="1"/>
    <row r="554" spans="2:15" s="462" customFormat="1" ht="12.75" customHeight="1">
      <c r="B554" s="458"/>
      <c r="C554" s="459"/>
      <c r="D554" s="459"/>
      <c r="E554" s="459"/>
      <c r="F554" s="528" t="s">
        <v>918</v>
      </c>
      <c r="G554" s="525">
        <f aca="true" t="shared" si="24" ref="G554:M554">G539+G549+G552</f>
        <v>1746628.9</v>
      </c>
      <c r="H554" s="525">
        <f t="shared" si="24"/>
        <v>64031</v>
      </c>
      <c r="I554" s="525">
        <f t="shared" si="24"/>
        <v>46856.95</v>
      </c>
      <c r="J554" s="525">
        <f t="shared" si="24"/>
        <v>71616.84000000001</v>
      </c>
      <c r="K554" s="525">
        <f t="shared" si="24"/>
        <v>116138.41</v>
      </c>
      <c r="L554" s="525">
        <f t="shared" si="24"/>
        <v>0</v>
      </c>
      <c r="M554" s="525">
        <f t="shared" si="24"/>
        <v>1812995.28</v>
      </c>
      <c r="N554" s="527"/>
      <c r="O554" s="528"/>
    </row>
    <row r="555" ht="12.75" customHeight="1"/>
    <row r="556" spans="2:15" s="462" customFormat="1" ht="12.75" customHeight="1">
      <c r="B556" s="458"/>
      <c r="C556" s="459"/>
      <c r="D556" s="459"/>
      <c r="E556" s="459"/>
      <c r="F556" s="528" t="s">
        <v>919</v>
      </c>
      <c r="G556" s="534">
        <f aca="true" t="shared" si="25" ref="G556:M556">G461+G529+G554</f>
        <v>80412104.01000005</v>
      </c>
      <c r="H556" s="535">
        <f t="shared" si="25"/>
        <v>4578149.079999999</v>
      </c>
      <c r="I556" s="535">
        <f t="shared" si="25"/>
        <v>-953622.6699999993</v>
      </c>
      <c r="J556" s="535">
        <f t="shared" si="25"/>
        <v>7151553.699999999</v>
      </c>
      <c r="K556" s="535">
        <f t="shared" si="25"/>
        <v>125573.09</v>
      </c>
      <c r="L556" s="535">
        <f t="shared" si="25"/>
        <v>-510842.6699999999</v>
      </c>
      <c r="M556" s="535">
        <f t="shared" si="25"/>
        <v>90551768.36000006</v>
      </c>
      <c r="N556" s="527"/>
      <c r="O556" s="528"/>
    </row>
  </sheetData>
  <printOptions horizontalCentered="1"/>
  <pageMargins left="0.5" right="0.5" top="0.75" bottom="0.5" header="0.25" footer="0.25"/>
  <pageSetup fitToHeight="0" fitToWidth="1"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workbookViewId="0" topLeftCell="C2">
      <selection activeCell="G29" sqref="G29"/>
    </sheetView>
  </sheetViews>
  <sheetFormatPr defaultColWidth="9.140625" defaultRowHeight="12.75" outlineLevelRow="1"/>
  <cols>
    <col min="1" max="1" width="9.140625" style="536" hidden="1" customWidth="1"/>
    <col min="2" max="2" width="15.140625" style="537" hidden="1" customWidth="1"/>
    <col min="3" max="3" width="3.28125" style="536" customWidth="1"/>
    <col min="4" max="4" width="45.7109375" style="531" customWidth="1"/>
    <col min="5" max="5" width="8.8515625" style="157" hidden="1" customWidth="1"/>
    <col min="6" max="13" width="15.7109375" style="327" customWidth="1"/>
    <col min="14" max="15" width="9.140625" style="424" customWidth="1"/>
    <col min="16" max="18" width="0" style="424" hidden="1" customWidth="1"/>
    <col min="19" max="16384" width="9.140625" style="424" customWidth="1"/>
  </cols>
  <sheetData>
    <row r="1" spans="1:13" ht="344.25" hidden="1">
      <c r="A1" s="536" t="s">
        <v>920</v>
      </c>
      <c r="B1" s="537" t="s">
        <v>2793</v>
      </c>
      <c r="D1" s="531" t="s">
        <v>2794</v>
      </c>
      <c r="E1" s="157" t="s">
        <v>921</v>
      </c>
      <c r="F1" s="327" t="s">
        <v>1945</v>
      </c>
      <c r="G1" s="327" t="s">
        <v>1546</v>
      </c>
      <c r="H1" s="327" t="s">
        <v>922</v>
      </c>
      <c r="I1" s="327" t="s">
        <v>923</v>
      </c>
      <c r="J1" s="327" t="s">
        <v>924</v>
      </c>
      <c r="K1" s="327" t="s">
        <v>925</v>
      </c>
      <c r="L1" s="327" t="s">
        <v>1950</v>
      </c>
      <c r="M1" s="327" t="s">
        <v>2794</v>
      </c>
    </row>
    <row r="2" spans="1:16" s="542" customFormat="1" ht="15.75" customHeight="1">
      <c r="A2" s="538"/>
      <c r="B2" s="539"/>
      <c r="C2" s="540" t="str">
        <f>"University of Missouri - "&amp;RBN</f>
        <v>University of Missouri - Rolla</v>
      </c>
      <c r="D2" s="541"/>
      <c r="E2" s="541"/>
      <c r="F2" s="331"/>
      <c r="G2" s="331"/>
      <c r="H2" s="331"/>
      <c r="I2" s="331"/>
      <c r="J2" s="331"/>
      <c r="K2" s="331"/>
      <c r="L2" s="331"/>
      <c r="M2" s="331"/>
      <c r="P2" s="436" t="s">
        <v>118</v>
      </c>
    </row>
    <row r="3" spans="1:16" s="542" customFormat="1" ht="15.75" customHeight="1">
      <c r="A3" s="538"/>
      <c r="B3" s="539"/>
      <c r="C3" s="543" t="s">
        <v>926</v>
      </c>
      <c r="D3" s="541"/>
      <c r="E3" s="541"/>
      <c r="F3" s="331"/>
      <c r="G3" s="331"/>
      <c r="H3" s="331"/>
      <c r="I3" s="331"/>
      <c r="J3" s="331"/>
      <c r="K3" s="331"/>
      <c r="L3" s="331"/>
      <c r="M3" s="331"/>
      <c r="P3" s="436" t="s">
        <v>927</v>
      </c>
    </row>
    <row r="4" spans="1:18" s="462" customFormat="1" ht="15.75" customHeight="1">
      <c r="A4" s="544"/>
      <c r="B4" s="539"/>
      <c r="C4" s="545" t="str">
        <f>"As of "&amp;TEXT(R4,"MMMM DD, YYYY")</f>
        <v>As of June 30, 2006</v>
      </c>
      <c r="D4" s="541"/>
      <c r="E4" s="546"/>
      <c r="F4" s="331"/>
      <c r="G4" s="331"/>
      <c r="H4" s="331"/>
      <c r="I4" s="331"/>
      <c r="J4" s="331"/>
      <c r="K4" s="331"/>
      <c r="L4" s="331"/>
      <c r="M4" s="331"/>
      <c r="P4" s="547" t="s">
        <v>117</v>
      </c>
      <c r="R4" s="548" t="s">
        <v>117</v>
      </c>
    </row>
    <row r="5" spans="2:16" ht="12.75" customHeight="1">
      <c r="B5" s="549"/>
      <c r="C5" s="549"/>
      <c r="D5" s="550"/>
      <c r="E5" s="546"/>
      <c r="F5" s="331"/>
      <c r="G5" s="331"/>
      <c r="H5" s="331"/>
      <c r="I5" s="331"/>
      <c r="J5" s="331"/>
      <c r="K5" s="331"/>
      <c r="L5" s="331"/>
      <c r="M5" s="331"/>
      <c r="P5" s="446" t="s">
        <v>2634</v>
      </c>
    </row>
    <row r="6" spans="1:16" s="462" customFormat="1" ht="42" customHeight="1">
      <c r="A6" s="544"/>
      <c r="B6" s="537"/>
      <c r="C6" s="551"/>
      <c r="D6" s="552"/>
      <c r="E6" s="553" t="s">
        <v>928</v>
      </c>
      <c r="F6" s="347" t="s">
        <v>1953</v>
      </c>
      <c r="G6" s="347" t="s">
        <v>929</v>
      </c>
      <c r="H6" s="347" t="s">
        <v>2073</v>
      </c>
      <c r="I6" s="347" t="s">
        <v>930</v>
      </c>
      <c r="J6" s="347" t="s">
        <v>931</v>
      </c>
      <c r="K6" s="347"/>
      <c r="L6" s="347" t="s">
        <v>932</v>
      </c>
      <c r="M6" s="347" t="s">
        <v>1953</v>
      </c>
      <c r="P6" s="554"/>
    </row>
    <row r="7" spans="1:16" s="561" customFormat="1" ht="12.75">
      <c r="A7" s="555"/>
      <c r="B7" s="556"/>
      <c r="C7" s="557"/>
      <c r="D7" s="558"/>
      <c r="E7" s="559" t="s">
        <v>933</v>
      </c>
      <c r="F7" s="560" t="str">
        <f>"July 1, "&amp;(P5-1)</f>
        <v>July 1, 2005</v>
      </c>
      <c r="G7" s="358" t="s">
        <v>934</v>
      </c>
      <c r="H7" s="358" t="s">
        <v>935</v>
      </c>
      <c r="I7" s="358" t="s">
        <v>1959</v>
      </c>
      <c r="J7" s="358" t="s">
        <v>936</v>
      </c>
      <c r="K7" s="358" t="s">
        <v>1960</v>
      </c>
      <c r="L7" s="358" t="s">
        <v>937</v>
      </c>
      <c r="M7" s="560" t="str">
        <f>TEXT(P4,"MMMM DD, YYYY")</f>
        <v>June 30, 2006</v>
      </c>
      <c r="P7" s="562"/>
    </row>
    <row r="8" spans="1:16" s="566" customFormat="1" ht="12.75">
      <c r="A8" s="563"/>
      <c r="B8" s="556"/>
      <c r="C8" s="563"/>
      <c r="D8" s="564"/>
      <c r="E8" s="565"/>
      <c r="F8" s="327"/>
      <c r="G8" s="327"/>
      <c r="H8" s="327"/>
      <c r="I8" s="327"/>
      <c r="J8" s="327"/>
      <c r="K8" s="327"/>
      <c r="L8" s="327"/>
      <c r="M8" s="327"/>
      <c r="P8" s="562"/>
    </row>
    <row r="9" ht="12.75" customHeight="1">
      <c r="C9" s="458" t="s">
        <v>1962</v>
      </c>
    </row>
    <row r="10" spans="1:13" ht="12.75" outlineLevel="1">
      <c r="A10" s="536" t="s">
        <v>938</v>
      </c>
      <c r="B10" s="537" t="s">
        <v>939</v>
      </c>
      <c r="D10" s="531" t="str">
        <f aca="true" t="shared" si="0" ref="D10:D23">UPPER(B10)</f>
        <v>NEW RESIDENCE HALL BUILDING #1</v>
      </c>
      <c r="E10" s="157" t="s">
        <v>940</v>
      </c>
      <c r="F10" s="364">
        <v>0</v>
      </c>
      <c r="G10" s="364">
        <v>0</v>
      </c>
      <c r="H10" s="364">
        <v>0</v>
      </c>
      <c r="I10" s="364">
        <v>25313.22</v>
      </c>
      <c r="J10" s="364">
        <v>293846.3</v>
      </c>
      <c r="K10" s="364">
        <v>319159.52</v>
      </c>
      <c r="L10" s="364">
        <v>0</v>
      </c>
      <c r="M10" s="364">
        <f aca="true" t="shared" si="1" ref="M10:M23">F10+G10+H10+I10+J10+L10-K10</f>
        <v>0</v>
      </c>
    </row>
    <row r="11" spans="1:13" ht="12.75" outlineLevel="1">
      <c r="A11" s="536" t="s">
        <v>941</v>
      </c>
      <c r="B11" s="537" t="s">
        <v>942</v>
      </c>
      <c r="D11" s="531" t="str">
        <f t="shared" si="0"/>
        <v>NEW RESIDENCE HALL #2</v>
      </c>
      <c r="E11" s="157" t="s">
        <v>943</v>
      </c>
      <c r="F11" s="327">
        <v>-537358.5</v>
      </c>
      <c r="G11" s="327">
        <v>0</v>
      </c>
      <c r="H11" s="327">
        <v>0</v>
      </c>
      <c r="I11" s="327">
        <v>0</v>
      </c>
      <c r="J11" s="327">
        <v>0</v>
      </c>
      <c r="K11" s="327">
        <v>2366516.55</v>
      </c>
      <c r="L11" s="327">
        <v>0</v>
      </c>
      <c r="M11" s="327">
        <f t="shared" si="1"/>
        <v>-2903875.05</v>
      </c>
    </row>
    <row r="12" spans="1:13" ht="12.75" outlineLevel="1">
      <c r="A12" s="536" t="s">
        <v>944</v>
      </c>
      <c r="B12" s="537" t="s">
        <v>945</v>
      </c>
      <c r="D12" s="531" t="str">
        <f t="shared" si="0"/>
        <v>HAVENER CENTER</v>
      </c>
      <c r="E12" s="157" t="s">
        <v>946</v>
      </c>
      <c r="F12" s="327">
        <v>1632694.34</v>
      </c>
      <c r="G12" s="327">
        <v>0</v>
      </c>
      <c r="H12" s="327">
        <v>113880</v>
      </c>
      <c r="I12" s="327">
        <v>79689.7</v>
      </c>
      <c r="J12" s="327">
        <v>0</v>
      </c>
      <c r="K12" s="327">
        <v>88260.26</v>
      </c>
      <c r="L12" s="327">
        <v>5000</v>
      </c>
      <c r="M12" s="327">
        <f t="shared" si="1"/>
        <v>1743003.78</v>
      </c>
    </row>
    <row r="13" spans="1:13" ht="12.75" outlineLevel="1">
      <c r="A13" s="536" t="s">
        <v>947</v>
      </c>
      <c r="B13" s="537" t="s">
        <v>948</v>
      </c>
      <c r="D13" s="531" t="str">
        <f t="shared" si="0"/>
        <v>REPL TRACK</v>
      </c>
      <c r="E13" s="157" t="s">
        <v>949</v>
      </c>
      <c r="F13" s="327">
        <v>60075.89</v>
      </c>
      <c r="G13" s="327">
        <v>0</v>
      </c>
      <c r="H13" s="327">
        <v>1500</v>
      </c>
      <c r="I13" s="327">
        <v>2529.26</v>
      </c>
      <c r="J13" s="327">
        <v>0</v>
      </c>
      <c r="K13" s="327">
        <v>1418.29</v>
      </c>
      <c r="L13" s="327">
        <v>0</v>
      </c>
      <c r="M13" s="327">
        <f t="shared" si="1"/>
        <v>62686.86</v>
      </c>
    </row>
    <row r="14" spans="1:13" ht="12.75" outlineLevel="1">
      <c r="A14" s="536" t="s">
        <v>950</v>
      </c>
      <c r="B14" s="537" t="s">
        <v>951</v>
      </c>
      <c r="D14" s="531" t="str">
        <f t="shared" si="0"/>
        <v>PHYSICAL RECREATION FACILITY</v>
      </c>
      <c r="E14" s="157" t="s">
        <v>952</v>
      </c>
      <c r="F14" s="327">
        <v>112.44</v>
      </c>
      <c r="G14" s="327">
        <v>0</v>
      </c>
      <c r="H14" s="327">
        <v>75</v>
      </c>
      <c r="I14" s="327">
        <v>0.85</v>
      </c>
      <c r="J14" s="327">
        <v>0</v>
      </c>
      <c r="K14" s="327">
        <v>0</v>
      </c>
      <c r="L14" s="327">
        <v>-188.29</v>
      </c>
      <c r="M14" s="327">
        <f t="shared" si="1"/>
        <v>0</v>
      </c>
    </row>
    <row r="15" spans="1:13" ht="12.75" outlineLevel="1">
      <c r="A15" s="536" t="s">
        <v>953</v>
      </c>
      <c r="B15" s="537" t="s">
        <v>954</v>
      </c>
      <c r="D15" s="531" t="str">
        <f t="shared" si="0"/>
        <v>SCHRENK CHEMISTRY BUILDING</v>
      </c>
      <c r="E15" s="157" t="s">
        <v>955</v>
      </c>
      <c r="F15" s="327">
        <v>3113.1</v>
      </c>
      <c r="G15" s="327">
        <v>0</v>
      </c>
      <c r="H15" s="327">
        <v>0</v>
      </c>
      <c r="I15" s="327">
        <v>25.56</v>
      </c>
      <c r="J15" s="327">
        <v>0</v>
      </c>
      <c r="K15" s="327">
        <v>0</v>
      </c>
      <c r="L15" s="327">
        <v>-3138.66</v>
      </c>
      <c r="M15" s="327">
        <f t="shared" si="1"/>
        <v>0</v>
      </c>
    </row>
    <row r="16" spans="1:13" ht="12.75" outlineLevel="1">
      <c r="A16" s="536" t="s">
        <v>956</v>
      </c>
      <c r="B16" s="537" t="s">
        <v>957</v>
      </c>
      <c r="D16" s="531" t="str">
        <f t="shared" si="0"/>
        <v>BULLMAN CHAIRBACK SEAT FUND</v>
      </c>
      <c r="E16" s="157" t="s">
        <v>2916</v>
      </c>
      <c r="F16" s="327">
        <v>2966.55</v>
      </c>
      <c r="G16" s="327">
        <v>0</v>
      </c>
      <c r="H16" s="327">
        <v>222.54</v>
      </c>
      <c r="I16" s="327">
        <v>-2973.78</v>
      </c>
      <c r="J16" s="327">
        <v>0</v>
      </c>
      <c r="K16" s="327">
        <v>215.31</v>
      </c>
      <c r="L16" s="327">
        <v>0</v>
      </c>
      <c r="M16" s="327">
        <f t="shared" si="1"/>
        <v>0</v>
      </c>
    </row>
    <row r="17" spans="1:13" ht="12.75" outlineLevel="1">
      <c r="A17" s="536" t="s">
        <v>2917</v>
      </c>
      <c r="B17" s="537" t="s">
        <v>2918</v>
      </c>
      <c r="D17" s="531" t="str">
        <f t="shared" si="0"/>
        <v>MECH ENGR ADDITION/RENOVATION</v>
      </c>
      <c r="E17" s="157" t="s">
        <v>2919</v>
      </c>
      <c r="F17" s="327">
        <v>855869.59</v>
      </c>
      <c r="G17" s="327">
        <v>0</v>
      </c>
      <c r="H17" s="327">
        <v>1776755.89</v>
      </c>
      <c r="I17" s="327">
        <v>56761.03</v>
      </c>
      <c r="J17" s="327">
        <v>0</v>
      </c>
      <c r="K17" s="327">
        <v>3334123.56</v>
      </c>
      <c r="L17" s="327">
        <v>1274557.88</v>
      </c>
      <c r="M17" s="327">
        <f t="shared" si="1"/>
        <v>629820.8299999996</v>
      </c>
    </row>
    <row r="18" spans="1:13" ht="12.75" outlineLevel="1">
      <c r="A18" s="536" t="s">
        <v>2920</v>
      </c>
      <c r="B18" s="537" t="s">
        <v>2921</v>
      </c>
      <c r="D18" s="531" t="str">
        <f t="shared" si="0"/>
        <v>GALE BULLMAN BLEACHER REPLMENT</v>
      </c>
      <c r="E18" s="157" t="s">
        <v>2922</v>
      </c>
      <c r="F18" s="327">
        <v>-2511.16</v>
      </c>
      <c r="G18" s="327">
        <v>0</v>
      </c>
      <c r="H18" s="327">
        <v>5874.45</v>
      </c>
      <c r="I18" s="327">
        <v>2973.78</v>
      </c>
      <c r="J18" s="327">
        <v>0</v>
      </c>
      <c r="K18" s="327">
        <v>598.21</v>
      </c>
      <c r="L18" s="327">
        <v>0</v>
      </c>
      <c r="M18" s="327">
        <f t="shared" si="1"/>
        <v>5738.86</v>
      </c>
    </row>
    <row r="19" spans="1:13" ht="12.75" outlineLevel="1">
      <c r="A19" s="536" t="s">
        <v>2923</v>
      </c>
      <c r="B19" s="537" t="s">
        <v>2924</v>
      </c>
      <c r="D19" s="531" t="str">
        <f t="shared" si="0"/>
        <v>FACILITY PROJECTS</v>
      </c>
      <c r="E19" s="157" t="s">
        <v>2925</v>
      </c>
      <c r="F19" s="327">
        <v>260766.39</v>
      </c>
      <c r="G19" s="327">
        <v>0</v>
      </c>
      <c r="H19" s="327">
        <v>0</v>
      </c>
      <c r="I19" s="327">
        <v>118421.58</v>
      </c>
      <c r="J19" s="327">
        <v>0</v>
      </c>
      <c r="K19" s="327">
        <v>0</v>
      </c>
      <c r="L19" s="327">
        <v>-260000</v>
      </c>
      <c r="M19" s="327">
        <f t="shared" si="1"/>
        <v>119187.97000000003</v>
      </c>
    </row>
    <row r="20" spans="1:13" ht="12.75" outlineLevel="1">
      <c r="A20" s="536" t="s">
        <v>2926</v>
      </c>
      <c r="B20" s="537" t="s">
        <v>2927</v>
      </c>
      <c r="D20" s="531" t="str">
        <f t="shared" si="0"/>
        <v>RENOVATION  CHANCELLOR'S RESID</v>
      </c>
      <c r="E20" s="157" t="s">
        <v>2928</v>
      </c>
      <c r="F20" s="327">
        <v>0</v>
      </c>
      <c r="G20" s="327">
        <v>0</v>
      </c>
      <c r="H20" s="327">
        <v>55000</v>
      </c>
      <c r="I20" s="327">
        <v>0</v>
      </c>
      <c r="J20" s="327">
        <v>0</v>
      </c>
      <c r="K20" s="327">
        <v>0</v>
      </c>
      <c r="L20" s="327">
        <v>0</v>
      </c>
      <c r="M20" s="327">
        <f t="shared" si="1"/>
        <v>55000</v>
      </c>
    </row>
    <row r="21" spans="1:13" ht="12.75" outlineLevel="1">
      <c r="A21" s="536" t="s">
        <v>2929</v>
      </c>
      <c r="B21" s="537" t="s">
        <v>2930</v>
      </c>
      <c r="D21" s="531" t="str">
        <f t="shared" si="0"/>
        <v>SOCCER FIELD DESIGN</v>
      </c>
      <c r="E21" s="157" t="s">
        <v>2931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20692.54</v>
      </c>
      <c r="L21" s="327">
        <v>10000</v>
      </c>
      <c r="M21" s="327">
        <f t="shared" si="1"/>
        <v>-10692.54</v>
      </c>
    </row>
    <row r="22" spans="1:13" ht="12.75" outlineLevel="1">
      <c r="A22" s="536" t="s">
        <v>2932</v>
      </c>
      <c r="B22" s="537" t="s">
        <v>2933</v>
      </c>
      <c r="D22" s="531" t="str">
        <f t="shared" si="0"/>
        <v>HAVENER CENTER ASSOCIATED PROJ</v>
      </c>
      <c r="E22" s="157" t="s">
        <v>2934</v>
      </c>
      <c r="F22" s="327">
        <v>17612.84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27">
        <v>-17612.84</v>
      </c>
      <c r="M22" s="327">
        <f t="shared" si="1"/>
        <v>0</v>
      </c>
    </row>
    <row r="23" spans="1:13" s="569" customFormat="1" ht="12.75" customHeight="1">
      <c r="A23" s="544" t="s">
        <v>2935</v>
      </c>
      <c r="B23" s="567" t="s">
        <v>2936</v>
      </c>
      <c r="C23" s="514"/>
      <c r="D23" s="528" t="str">
        <f t="shared" si="0"/>
        <v>    TOTAL RESTRICTED</v>
      </c>
      <c r="E23" s="568"/>
      <c r="F23" s="369">
        <v>2293341.48</v>
      </c>
      <c r="G23" s="369">
        <v>0</v>
      </c>
      <c r="H23" s="369">
        <v>1953307.88</v>
      </c>
      <c r="I23" s="369">
        <v>282741.2</v>
      </c>
      <c r="J23" s="369">
        <v>293846.3</v>
      </c>
      <c r="K23" s="369">
        <v>6130984.24</v>
      </c>
      <c r="L23" s="369">
        <v>1008618.09</v>
      </c>
      <c r="M23" s="369">
        <f t="shared" si="1"/>
        <v>-299129.29000000097</v>
      </c>
    </row>
    <row r="24" spans="1:13" s="462" customFormat="1" ht="12.75" customHeight="1">
      <c r="A24" s="544"/>
      <c r="B24" s="537"/>
      <c r="C24" s="544"/>
      <c r="D24" s="531"/>
      <c r="E24" s="157"/>
      <c r="F24" s="327"/>
      <c r="G24" s="327"/>
      <c r="H24" s="327"/>
      <c r="I24" s="327"/>
      <c r="J24" s="327"/>
      <c r="K24" s="327"/>
      <c r="L24" s="327"/>
      <c r="M24" s="327"/>
    </row>
    <row r="25" ht="12.75" customHeight="1">
      <c r="C25" s="458" t="s">
        <v>2055</v>
      </c>
    </row>
    <row r="26" spans="1:13" ht="12.75" outlineLevel="1">
      <c r="A26" s="536" t="s">
        <v>2937</v>
      </c>
      <c r="B26" s="537" t="s">
        <v>2938</v>
      </c>
      <c r="D26" s="531" t="str">
        <f aca="true" t="shared" si="2" ref="D26:D55">UPPER(B26)</f>
        <v>FRAT SITE DEV</v>
      </c>
      <c r="E26" s="157" t="s">
        <v>2939</v>
      </c>
      <c r="F26" s="327">
        <v>8587.43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27">
        <v>-8587.43</v>
      </c>
      <c r="M26" s="327">
        <f aca="true" t="shared" si="3" ref="M26:M55">F26+G26+H26+I26+J26+L26-K26</f>
        <v>0</v>
      </c>
    </row>
    <row r="27" spans="1:13" ht="12.75" outlineLevel="1">
      <c r="A27" s="536" t="s">
        <v>2940</v>
      </c>
      <c r="B27" s="537" t="s">
        <v>2941</v>
      </c>
      <c r="D27" s="531" t="str">
        <f t="shared" si="2"/>
        <v>PARKING LOT DEV- SOOTER PROP</v>
      </c>
      <c r="E27" s="157" t="s">
        <v>2942</v>
      </c>
      <c r="F27" s="327">
        <v>74632.32</v>
      </c>
      <c r="G27" s="327">
        <v>0</v>
      </c>
      <c r="H27" s="327">
        <v>0</v>
      </c>
      <c r="I27" s="327">
        <v>0</v>
      </c>
      <c r="J27" s="327">
        <v>0</v>
      </c>
      <c r="K27" s="327">
        <v>76602.4</v>
      </c>
      <c r="L27" s="327">
        <v>1970.08</v>
      </c>
      <c r="M27" s="327">
        <f t="shared" si="3"/>
        <v>0</v>
      </c>
    </row>
    <row r="28" spans="1:13" ht="12.75" outlineLevel="1">
      <c r="A28" s="536" t="s">
        <v>2943</v>
      </c>
      <c r="B28" s="537" t="s">
        <v>2944</v>
      </c>
      <c r="D28" s="531" t="str">
        <f t="shared" si="2"/>
        <v>RENOVATION PROJECTS @MCNUTT</v>
      </c>
      <c r="E28" s="157" t="s">
        <v>2945</v>
      </c>
      <c r="F28" s="327">
        <v>197261.56</v>
      </c>
      <c r="G28" s="327">
        <v>0</v>
      </c>
      <c r="H28" s="327">
        <v>0</v>
      </c>
      <c r="I28" s="327">
        <v>0</v>
      </c>
      <c r="J28" s="327">
        <v>0</v>
      </c>
      <c r="K28" s="327">
        <v>223911.84</v>
      </c>
      <c r="L28" s="327">
        <v>31650.28</v>
      </c>
      <c r="M28" s="327">
        <f t="shared" si="3"/>
        <v>5000</v>
      </c>
    </row>
    <row r="29" spans="1:13" ht="12.75" outlineLevel="1">
      <c r="A29" s="536" t="s">
        <v>2946</v>
      </c>
      <c r="B29" s="537" t="s">
        <v>2947</v>
      </c>
      <c r="D29" s="531" t="str">
        <f t="shared" si="2"/>
        <v>RENOVATION OF ALTMAN HALL</v>
      </c>
      <c r="E29" s="157" t="s">
        <v>2948</v>
      </c>
      <c r="F29" s="327">
        <v>0</v>
      </c>
      <c r="G29" s="327">
        <v>0</v>
      </c>
      <c r="H29" s="327">
        <v>0</v>
      </c>
      <c r="I29" s="327">
        <v>0</v>
      </c>
      <c r="J29" s="327">
        <v>0</v>
      </c>
      <c r="K29" s="327">
        <v>107410.78</v>
      </c>
      <c r="L29" s="327">
        <v>107410.78</v>
      </c>
      <c r="M29" s="327">
        <f t="shared" si="3"/>
        <v>0</v>
      </c>
    </row>
    <row r="30" spans="1:13" ht="12.75" outlineLevel="1">
      <c r="A30" s="536" t="s">
        <v>2949</v>
      </c>
      <c r="B30" s="537" t="s">
        <v>2950</v>
      </c>
      <c r="D30" s="531" t="str">
        <f t="shared" si="2"/>
        <v>SAMPLES CHAR RESERVE</v>
      </c>
      <c r="E30" s="157" t="s">
        <v>2951</v>
      </c>
      <c r="F30" s="327">
        <v>118020.02</v>
      </c>
      <c r="G30" s="327">
        <v>0</v>
      </c>
      <c r="H30" s="327">
        <v>0</v>
      </c>
      <c r="I30" s="327">
        <v>0</v>
      </c>
      <c r="J30" s="327">
        <v>0</v>
      </c>
      <c r="K30" s="327">
        <v>-5100</v>
      </c>
      <c r="L30" s="327">
        <v>25000</v>
      </c>
      <c r="M30" s="327">
        <f t="shared" si="3"/>
        <v>148120.02000000002</v>
      </c>
    </row>
    <row r="31" spans="1:13" ht="12.75" outlineLevel="1">
      <c r="A31" s="536" t="s">
        <v>2952</v>
      </c>
      <c r="B31" s="537" t="s">
        <v>2953</v>
      </c>
      <c r="D31" s="531" t="str">
        <f t="shared" si="2"/>
        <v>RESERVE-ACAD COMP EQUIP</v>
      </c>
      <c r="E31" s="157" t="s">
        <v>2954</v>
      </c>
      <c r="F31" s="327">
        <v>973.66</v>
      </c>
      <c r="G31" s="327">
        <v>0</v>
      </c>
      <c r="H31" s="327">
        <v>0</v>
      </c>
      <c r="I31" s="327">
        <v>0</v>
      </c>
      <c r="J31" s="327">
        <v>0</v>
      </c>
      <c r="K31" s="327">
        <v>0</v>
      </c>
      <c r="L31" s="327">
        <v>-973.66</v>
      </c>
      <c r="M31" s="327">
        <f t="shared" si="3"/>
        <v>0</v>
      </c>
    </row>
    <row r="32" spans="1:13" ht="12.75" outlineLevel="1">
      <c r="A32" s="536" t="s">
        <v>2955</v>
      </c>
      <c r="B32" s="537" t="s">
        <v>2956</v>
      </c>
      <c r="D32" s="531" t="str">
        <f t="shared" si="2"/>
        <v>RESERVE-INFO TECH EQUIP REPL</v>
      </c>
      <c r="E32" s="157" t="s">
        <v>2957</v>
      </c>
      <c r="F32" s="327">
        <v>307730.69</v>
      </c>
      <c r="G32" s="327">
        <v>0</v>
      </c>
      <c r="H32" s="327">
        <v>0</v>
      </c>
      <c r="I32" s="327">
        <v>0</v>
      </c>
      <c r="J32" s="327">
        <v>0</v>
      </c>
      <c r="K32" s="327">
        <v>56710.2</v>
      </c>
      <c r="L32" s="327">
        <v>973.66</v>
      </c>
      <c r="M32" s="327">
        <f t="shared" si="3"/>
        <v>251994.14999999997</v>
      </c>
    </row>
    <row r="33" spans="1:13" ht="12.75" outlineLevel="1">
      <c r="A33" s="536" t="s">
        <v>2958</v>
      </c>
      <c r="B33" s="537" t="s">
        <v>2959</v>
      </c>
      <c r="D33" s="531" t="str">
        <f t="shared" si="2"/>
        <v>SPEC REMODELING PROJ</v>
      </c>
      <c r="E33" s="157" t="s">
        <v>2960</v>
      </c>
      <c r="F33" s="327">
        <v>0</v>
      </c>
      <c r="G33" s="327">
        <v>0</v>
      </c>
      <c r="H33" s="327">
        <v>0</v>
      </c>
      <c r="I33" s="327">
        <v>0</v>
      </c>
      <c r="J33" s="327">
        <v>0</v>
      </c>
      <c r="K33" s="327">
        <v>0</v>
      </c>
      <c r="L33" s="327">
        <v>0</v>
      </c>
      <c r="M33" s="327">
        <f t="shared" si="3"/>
        <v>0</v>
      </c>
    </row>
    <row r="34" spans="1:13" ht="12.75" outlineLevel="1">
      <c r="A34" s="536" t="s">
        <v>2961</v>
      </c>
      <c r="B34" s="537" t="s">
        <v>2962</v>
      </c>
      <c r="D34" s="531" t="str">
        <f t="shared" si="2"/>
        <v>PROPERTY PURCHASE</v>
      </c>
      <c r="E34" s="157" t="s">
        <v>2963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v>-51093.42</v>
      </c>
      <c r="L34" s="327">
        <v>-6987.82</v>
      </c>
      <c r="M34" s="327">
        <f t="shared" si="3"/>
        <v>44105.6</v>
      </c>
    </row>
    <row r="35" spans="1:13" ht="12.75" outlineLevel="1">
      <c r="A35" s="536" t="s">
        <v>2964</v>
      </c>
      <c r="B35" s="537" t="s">
        <v>2965</v>
      </c>
      <c r="D35" s="531" t="str">
        <f t="shared" si="2"/>
        <v>RESERVE-CBX REPLACEMENT</v>
      </c>
      <c r="E35" s="157" t="s">
        <v>2966</v>
      </c>
      <c r="F35" s="327">
        <v>126022.37</v>
      </c>
      <c r="G35" s="327">
        <v>0</v>
      </c>
      <c r="H35" s="327">
        <v>0</v>
      </c>
      <c r="I35" s="327">
        <v>0</v>
      </c>
      <c r="J35" s="327">
        <v>0</v>
      </c>
      <c r="K35" s="327">
        <v>70733.87</v>
      </c>
      <c r="L35" s="327">
        <v>0</v>
      </c>
      <c r="M35" s="327">
        <f t="shared" si="3"/>
        <v>55288.5</v>
      </c>
    </row>
    <row r="36" spans="1:13" ht="12.75" outlineLevel="1">
      <c r="A36" s="536" t="s">
        <v>2967</v>
      </c>
      <c r="B36" s="537" t="s">
        <v>2968</v>
      </c>
      <c r="D36" s="531" t="str">
        <f t="shared" si="2"/>
        <v>PRINTING EQUIPMENT RESERVE</v>
      </c>
      <c r="E36" s="157" t="s">
        <v>2969</v>
      </c>
      <c r="F36" s="327">
        <v>27476.64</v>
      </c>
      <c r="G36" s="327">
        <v>0</v>
      </c>
      <c r="H36" s="327">
        <v>0</v>
      </c>
      <c r="I36" s="327">
        <v>0</v>
      </c>
      <c r="J36" s="327">
        <v>0</v>
      </c>
      <c r="K36" s="327">
        <v>0</v>
      </c>
      <c r="L36" s="327">
        <v>9060.71</v>
      </c>
      <c r="M36" s="327">
        <f t="shared" si="3"/>
        <v>36537.35</v>
      </c>
    </row>
    <row r="37" spans="1:13" ht="12.75" outlineLevel="1">
      <c r="A37" s="536" t="s">
        <v>2970</v>
      </c>
      <c r="B37" s="537" t="s">
        <v>2971</v>
      </c>
      <c r="D37" s="531" t="str">
        <f t="shared" si="2"/>
        <v>MAIL EQUIPMENT RESERVE</v>
      </c>
      <c r="E37" s="157" t="s">
        <v>2972</v>
      </c>
      <c r="F37" s="327">
        <v>8605.93</v>
      </c>
      <c r="G37" s="327">
        <v>0</v>
      </c>
      <c r="H37" s="327">
        <v>0</v>
      </c>
      <c r="I37" s="327">
        <v>0</v>
      </c>
      <c r="J37" s="327">
        <v>0</v>
      </c>
      <c r="K37" s="327">
        <v>0</v>
      </c>
      <c r="L37" s="327">
        <v>3232.88</v>
      </c>
      <c r="M37" s="327">
        <f t="shared" si="3"/>
        <v>11838.810000000001</v>
      </c>
    </row>
    <row r="38" spans="1:13" ht="12.75" outlineLevel="1">
      <c r="A38" s="536" t="s">
        <v>2973</v>
      </c>
      <c r="B38" s="537" t="s">
        <v>2974</v>
      </c>
      <c r="D38" s="531" t="str">
        <f t="shared" si="2"/>
        <v>UNIV DR ENHANCEMENTS</v>
      </c>
      <c r="E38" s="157" t="s">
        <v>2975</v>
      </c>
      <c r="F38" s="327">
        <v>386071.9</v>
      </c>
      <c r="G38" s="327">
        <v>0</v>
      </c>
      <c r="H38" s="327">
        <v>0</v>
      </c>
      <c r="I38" s="327">
        <v>0</v>
      </c>
      <c r="J38" s="327">
        <v>0</v>
      </c>
      <c r="K38" s="327">
        <v>554337.53</v>
      </c>
      <c r="L38" s="327">
        <v>168265.63</v>
      </c>
      <c r="M38" s="327">
        <f t="shared" si="3"/>
        <v>0</v>
      </c>
    </row>
    <row r="39" spans="1:13" ht="12.75" outlineLevel="1">
      <c r="A39" s="536" t="s">
        <v>2976</v>
      </c>
      <c r="B39" s="537" t="s">
        <v>2977</v>
      </c>
      <c r="D39" s="531" t="str">
        <f t="shared" si="2"/>
        <v>RENOVATION OF UNIV CTR E</v>
      </c>
      <c r="E39" s="157" t="s">
        <v>2978</v>
      </c>
      <c r="F39" s="327">
        <v>100980</v>
      </c>
      <c r="G39" s="327">
        <v>0</v>
      </c>
      <c r="H39" s="327">
        <v>0</v>
      </c>
      <c r="I39" s="327">
        <v>0</v>
      </c>
      <c r="J39" s="327">
        <v>0</v>
      </c>
      <c r="K39" s="327">
        <v>0</v>
      </c>
      <c r="L39" s="327">
        <v>-100980</v>
      </c>
      <c r="M39" s="327">
        <f t="shared" si="3"/>
        <v>0</v>
      </c>
    </row>
    <row r="40" spans="1:13" ht="12.75" outlineLevel="1">
      <c r="A40" s="536" t="s">
        <v>2979</v>
      </c>
      <c r="B40" s="537" t="s">
        <v>2980</v>
      </c>
      <c r="D40" s="531" t="str">
        <f t="shared" si="2"/>
        <v>CONNECTION OF LOT 37&amp;38</v>
      </c>
      <c r="E40" s="157" t="s">
        <v>2981</v>
      </c>
      <c r="F40" s="327">
        <v>30830.58</v>
      </c>
      <c r="G40" s="327">
        <v>0</v>
      </c>
      <c r="H40" s="327">
        <v>0</v>
      </c>
      <c r="I40" s="327">
        <v>0</v>
      </c>
      <c r="J40" s="327">
        <v>0</v>
      </c>
      <c r="K40" s="327">
        <v>33156.63</v>
      </c>
      <c r="L40" s="327">
        <v>3576.05</v>
      </c>
      <c r="M40" s="327">
        <f t="shared" si="3"/>
        <v>1250.0000000000073</v>
      </c>
    </row>
    <row r="41" spans="1:13" ht="12.75" outlineLevel="1">
      <c r="A41" s="536" t="s">
        <v>2982</v>
      </c>
      <c r="B41" s="537" t="s">
        <v>2983</v>
      </c>
      <c r="D41" s="531" t="str">
        <f t="shared" si="2"/>
        <v>MACE HOUSE DEMO</v>
      </c>
      <c r="E41" s="157" t="s">
        <v>2984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20737.78</v>
      </c>
      <c r="L41" s="327">
        <v>20807.78</v>
      </c>
      <c r="M41" s="327">
        <f t="shared" si="3"/>
        <v>70</v>
      </c>
    </row>
    <row r="42" spans="1:13" ht="12.75" outlineLevel="1">
      <c r="A42" s="536" t="s">
        <v>2985</v>
      </c>
      <c r="B42" s="537" t="s">
        <v>2986</v>
      </c>
      <c r="D42" s="531" t="str">
        <f t="shared" si="2"/>
        <v>GROUNDS &amp; CUSTODIAL FACILITY</v>
      </c>
      <c r="E42" s="157" t="s">
        <v>2987</v>
      </c>
      <c r="F42" s="327">
        <v>321202.23</v>
      </c>
      <c r="G42" s="327">
        <v>0</v>
      </c>
      <c r="H42" s="327">
        <v>0</v>
      </c>
      <c r="I42" s="327">
        <v>0</v>
      </c>
      <c r="J42" s="327">
        <v>0</v>
      </c>
      <c r="K42" s="327">
        <v>530711.97</v>
      </c>
      <c r="L42" s="327">
        <v>224509.74</v>
      </c>
      <c r="M42" s="327">
        <f t="shared" si="3"/>
        <v>15000</v>
      </c>
    </row>
    <row r="43" spans="1:13" ht="12.75" outlineLevel="1">
      <c r="A43" s="536" t="s">
        <v>2988</v>
      </c>
      <c r="B43" s="537" t="s">
        <v>2989</v>
      </c>
      <c r="D43" s="531" t="str">
        <f t="shared" si="2"/>
        <v>HIGHWAY 63 STATE ST ROADWAY</v>
      </c>
      <c r="E43" s="157" t="s">
        <v>2990</v>
      </c>
      <c r="F43" s="327">
        <v>257332.94</v>
      </c>
      <c r="G43" s="327">
        <v>0</v>
      </c>
      <c r="H43" s="327">
        <v>0</v>
      </c>
      <c r="I43" s="327">
        <v>0</v>
      </c>
      <c r="J43" s="327">
        <v>0</v>
      </c>
      <c r="K43" s="327">
        <v>455817.54</v>
      </c>
      <c r="L43" s="327">
        <v>208084.6</v>
      </c>
      <c r="M43" s="327">
        <f t="shared" si="3"/>
        <v>9600.000000000058</v>
      </c>
    </row>
    <row r="44" spans="1:13" ht="12.75" outlineLevel="1">
      <c r="A44" s="536" t="s">
        <v>2991</v>
      </c>
      <c r="B44" s="537" t="s">
        <v>2992</v>
      </c>
      <c r="D44" s="531" t="str">
        <f t="shared" si="2"/>
        <v>RES HALL #1 COSTS OF DELAY</v>
      </c>
      <c r="E44" s="157" t="s">
        <v>2993</v>
      </c>
      <c r="F44" s="327">
        <v>-824841.13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7">
        <f t="shared" si="3"/>
        <v>-824841.13</v>
      </c>
    </row>
    <row r="45" spans="1:13" ht="12.75" outlineLevel="1">
      <c r="A45" s="536" t="s">
        <v>2994</v>
      </c>
      <c r="B45" s="537" t="s">
        <v>2995</v>
      </c>
      <c r="D45" s="531" t="str">
        <f t="shared" si="2"/>
        <v>RENOVATION OF CHANCELLORS RESI</v>
      </c>
      <c r="E45" s="157" t="s">
        <v>2996</v>
      </c>
      <c r="F45" s="327">
        <v>687962.12</v>
      </c>
      <c r="G45" s="327">
        <v>0</v>
      </c>
      <c r="H45" s="327">
        <v>0</v>
      </c>
      <c r="I45" s="327">
        <v>0</v>
      </c>
      <c r="J45" s="327">
        <v>0</v>
      </c>
      <c r="K45" s="327">
        <v>825543.9</v>
      </c>
      <c r="L45" s="327">
        <v>-95405.87</v>
      </c>
      <c r="M45" s="327">
        <f t="shared" si="3"/>
        <v>-232987.65000000002</v>
      </c>
    </row>
    <row r="46" spans="1:13" ht="12.75" outlineLevel="1">
      <c r="A46" s="536" t="s">
        <v>2997</v>
      </c>
      <c r="B46" s="537" t="s">
        <v>2998</v>
      </c>
      <c r="D46" s="531" t="str">
        <f t="shared" si="2"/>
        <v>RENNOVATION CHANCELLOR COMPLEX</v>
      </c>
      <c r="E46" s="157" t="s">
        <v>2999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192751.89</v>
      </c>
      <c r="L46" s="327">
        <v>200000</v>
      </c>
      <c r="M46" s="327">
        <f t="shared" si="3"/>
        <v>7248.109999999986</v>
      </c>
    </row>
    <row r="47" spans="1:13" ht="12.75" outlineLevel="1">
      <c r="A47" s="536" t="s">
        <v>3000</v>
      </c>
      <c r="B47" s="537" t="s">
        <v>3001</v>
      </c>
      <c r="D47" s="531" t="str">
        <f t="shared" si="2"/>
        <v>RENOVATION PROJECT TJ HALL</v>
      </c>
      <c r="E47" s="157" t="s">
        <v>3002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151.88</v>
      </c>
      <c r="L47" s="327">
        <v>0</v>
      </c>
      <c r="M47" s="327">
        <f t="shared" si="3"/>
        <v>-151.88</v>
      </c>
    </row>
    <row r="48" spans="1:13" ht="12.75" outlineLevel="1">
      <c r="A48" s="536" t="s">
        <v>3003</v>
      </c>
      <c r="B48" s="537" t="s">
        <v>3004</v>
      </c>
      <c r="D48" s="531" t="str">
        <f t="shared" si="2"/>
        <v>RENOVATE PUBLIC RELATIONS AREA</v>
      </c>
      <c r="E48" s="157" t="s">
        <v>3005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24552.46</v>
      </c>
      <c r="L48" s="327">
        <v>203794</v>
      </c>
      <c r="M48" s="327">
        <f t="shared" si="3"/>
        <v>179241.54</v>
      </c>
    </row>
    <row r="49" spans="1:13" ht="12.75" outlineLevel="1">
      <c r="A49" s="536" t="s">
        <v>3006</v>
      </c>
      <c r="B49" s="537" t="s">
        <v>3007</v>
      </c>
      <c r="D49" s="531" t="str">
        <f t="shared" si="2"/>
        <v>HOUSING CAPITAL POOL</v>
      </c>
      <c r="E49" s="157" t="s">
        <v>3008</v>
      </c>
      <c r="F49" s="327">
        <v>0</v>
      </c>
      <c r="G49" s="327">
        <v>0</v>
      </c>
      <c r="H49" s="327">
        <v>0</v>
      </c>
      <c r="I49" s="327">
        <v>193453.62</v>
      </c>
      <c r="J49" s="327">
        <v>0</v>
      </c>
      <c r="K49" s="327">
        <v>1501.53</v>
      </c>
      <c r="L49" s="327">
        <v>5039606.16</v>
      </c>
      <c r="M49" s="327">
        <f t="shared" si="3"/>
        <v>5231558.25</v>
      </c>
    </row>
    <row r="50" spans="1:13" ht="12.75" outlineLevel="1">
      <c r="A50" s="536" t="s">
        <v>3009</v>
      </c>
      <c r="B50" s="537" t="s">
        <v>3010</v>
      </c>
      <c r="D50" s="531" t="str">
        <f t="shared" si="2"/>
        <v>PHYSICAL REC CTR - CAP POOL</v>
      </c>
      <c r="E50" s="157" t="s">
        <v>3011</v>
      </c>
      <c r="F50" s="327">
        <v>0</v>
      </c>
      <c r="G50" s="327">
        <v>0</v>
      </c>
      <c r="H50" s="327">
        <v>0</v>
      </c>
      <c r="I50" s="327">
        <v>670.47</v>
      </c>
      <c r="J50" s="327">
        <v>0</v>
      </c>
      <c r="K50" s="327">
        <v>481.95</v>
      </c>
      <c r="L50" s="327">
        <v>27116.05</v>
      </c>
      <c r="M50" s="327">
        <f t="shared" si="3"/>
        <v>27304.57</v>
      </c>
    </row>
    <row r="51" spans="1:13" ht="12.75" outlineLevel="1">
      <c r="A51" s="536" t="s">
        <v>3012</v>
      </c>
      <c r="B51" s="537" t="s">
        <v>3013</v>
      </c>
      <c r="D51" s="531" t="str">
        <f t="shared" si="2"/>
        <v>PARKING - CAPTIAL POOL</v>
      </c>
      <c r="E51" s="157" t="s">
        <v>3014</v>
      </c>
      <c r="F51" s="327">
        <v>0</v>
      </c>
      <c r="G51" s="327">
        <v>0</v>
      </c>
      <c r="H51" s="327">
        <v>0</v>
      </c>
      <c r="I51" s="327">
        <v>62.53</v>
      </c>
      <c r="J51" s="327">
        <v>0</v>
      </c>
      <c r="K51" s="327">
        <v>0</v>
      </c>
      <c r="L51" s="327">
        <v>1480.26</v>
      </c>
      <c r="M51" s="327">
        <f t="shared" si="3"/>
        <v>1542.79</v>
      </c>
    </row>
    <row r="52" spans="1:13" ht="12.75" outlineLevel="1">
      <c r="A52" s="536" t="s">
        <v>3015</v>
      </c>
      <c r="B52" s="537" t="s">
        <v>3016</v>
      </c>
      <c r="D52" s="531" t="str">
        <f t="shared" si="2"/>
        <v>GOLF COURSE - CAP POOL</v>
      </c>
      <c r="E52" s="157" t="s">
        <v>3017</v>
      </c>
      <c r="F52" s="327">
        <v>0</v>
      </c>
      <c r="G52" s="327">
        <v>0</v>
      </c>
      <c r="H52" s="327">
        <v>0</v>
      </c>
      <c r="I52" s="327">
        <v>877.71</v>
      </c>
      <c r="J52" s="327">
        <v>0</v>
      </c>
      <c r="K52" s="327">
        <v>0</v>
      </c>
      <c r="L52" s="327">
        <v>20781.56</v>
      </c>
      <c r="M52" s="327">
        <f t="shared" si="3"/>
        <v>21659.27</v>
      </c>
    </row>
    <row r="53" spans="1:13" ht="12.75" outlineLevel="1">
      <c r="A53" s="536" t="s">
        <v>3018</v>
      </c>
      <c r="B53" s="537" t="s">
        <v>3019</v>
      </c>
      <c r="D53" s="531" t="str">
        <f t="shared" si="2"/>
        <v>RESIDENCE HALL #1 - CAP POOL</v>
      </c>
      <c r="E53" s="157" t="s">
        <v>3020</v>
      </c>
      <c r="F53" s="327">
        <v>0</v>
      </c>
      <c r="G53" s="327">
        <v>0</v>
      </c>
      <c r="H53" s="327">
        <v>0</v>
      </c>
      <c r="I53" s="327">
        <v>13826.19</v>
      </c>
      <c r="J53" s="327">
        <v>0</v>
      </c>
      <c r="K53" s="327">
        <v>1583.01</v>
      </c>
      <c r="L53" s="327">
        <v>428071.23</v>
      </c>
      <c r="M53" s="327">
        <f t="shared" si="3"/>
        <v>440314.41</v>
      </c>
    </row>
    <row r="54" spans="1:13" ht="12.75" outlineLevel="1">
      <c r="A54" s="536" t="s">
        <v>3021</v>
      </c>
      <c r="B54" s="537" t="s">
        <v>3022</v>
      </c>
      <c r="D54" s="531" t="str">
        <f t="shared" si="2"/>
        <v>HAVENER CENTER - CAP POOL</v>
      </c>
      <c r="E54" s="157" t="s">
        <v>3023</v>
      </c>
      <c r="F54" s="327">
        <v>0</v>
      </c>
      <c r="G54" s="327">
        <v>0</v>
      </c>
      <c r="H54" s="327">
        <v>0</v>
      </c>
      <c r="I54" s="327">
        <v>-183.17</v>
      </c>
      <c r="J54" s="327">
        <v>0</v>
      </c>
      <c r="K54" s="327">
        <v>1376.57</v>
      </c>
      <c r="L54" s="327">
        <v>1197.66</v>
      </c>
      <c r="M54" s="327">
        <f t="shared" si="3"/>
        <v>-362.0799999999998</v>
      </c>
    </row>
    <row r="55" spans="1:13" s="569" customFormat="1" ht="12.75" customHeight="1">
      <c r="A55" s="544" t="s">
        <v>3024</v>
      </c>
      <c r="B55" s="567" t="s">
        <v>3025</v>
      </c>
      <c r="C55" s="514"/>
      <c r="D55" s="528" t="str">
        <f t="shared" si="2"/>
        <v>    TOTAL UNRESTRICTED</v>
      </c>
      <c r="E55" s="570"/>
      <c r="F55" s="369">
        <v>1828849.44</v>
      </c>
      <c r="G55" s="369">
        <v>0</v>
      </c>
      <c r="H55" s="369">
        <v>0</v>
      </c>
      <c r="I55" s="369">
        <v>208707.35</v>
      </c>
      <c r="J55" s="369">
        <v>0</v>
      </c>
      <c r="K55" s="369">
        <v>3121880.31</v>
      </c>
      <c r="L55" s="369">
        <v>6513654.149999999</v>
      </c>
      <c r="M55" s="369">
        <f t="shared" si="3"/>
        <v>5429330.629999999</v>
      </c>
    </row>
    <row r="56" ht="12.75" customHeight="1"/>
    <row r="57" spans="1:13" s="462" customFormat="1" ht="12.75" customHeight="1">
      <c r="A57" s="544"/>
      <c r="B57" s="571"/>
      <c r="C57" s="544"/>
      <c r="D57" s="530" t="s">
        <v>3026</v>
      </c>
      <c r="E57" s="570"/>
      <c r="F57" s="374">
        <f aca="true" t="shared" si="4" ref="F57:L57">F23+F55</f>
        <v>4122190.92</v>
      </c>
      <c r="G57" s="374">
        <f t="shared" si="4"/>
        <v>0</v>
      </c>
      <c r="H57" s="374">
        <f t="shared" si="4"/>
        <v>1953307.88</v>
      </c>
      <c r="I57" s="374">
        <f t="shared" si="4"/>
        <v>491448.55000000005</v>
      </c>
      <c r="J57" s="374">
        <f t="shared" si="4"/>
        <v>293846.3</v>
      </c>
      <c r="K57" s="374">
        <f t="shared" si="4"/>
        <v>9252864.55</v>
      </c>
      <c r="L57" s="374">
        <f t="shared" si="4"/>
        <v>7522272.239999999</v>
      </c>
      <c r="M57" s="374">
        <f>F57+G57+H57+I57+J57+L57-K57</f>
        <v>5130201.339999998</v>
      </c>
    </row>
    <row r="59" ht="12.75">
      <c r="A59" s="536" t="s">
        <v>2792</v>
      </c>
    </row>
    <row r="60" ht="12.75">
      <c r="A60" s="536" t="s">
        <v>2792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workbookViewId="0" topLeftCell="B2">
      <selection activeCell="C37" sqref="C37"/>
    </sheetView>
  </sheetViews>
  <sheetFormatPr defaultColWidth="9.140625" defaultRowHeight="12.75"/>
  <cols>
    <col min="1" max="1" width="3.00390625" style="2" hidden="1" customWidth="1"/>
    <col min="2" max="2" width="2.57421875" style="1" customWidth="1"/>
    <col min="3" max="3" width="75.7109375" style="2" customWidth="1"/>
    <col min="4" max="4" width="7.140625" style="1" customWidth="1"/>
    <col min="5" max="5" width="20.7109375" style="1" hidden="1" customWidth="1"/>
    <col min="6" max="9" width="20.7109375" style="1" customWidth="1"/>
    <col min="10" max="10" width="9.140625" style="120" hidden="1" customWidth="1"/>
    <col min="11" max="13" width="0" style="120" hidden="1" customWidth="1"/>
    <col min="14" max="14" width="9.140625" style="120" customWidth="1" collapsed="1"/>
    <col min="15" max="16384" width="9.140625" style="120" customWidth="1"/>
  </cols>
  <sheetData>
    <row r="1" spans="1:5" ht="12.75" customHeight="1" hidden="1">
      <c r="A1" s="2" t="s">
        <v>2792</v>
      </c>
      <c r="B1" s="1" t="s">
        <v>2792</v>
      </c>
      <c r="C1" s="2" t="s">
        <v>2792</v>
      </c>
      <c r="D1" s="1" t="s">
        <v>2792</v>
      </c>
      <c r="E1" s="1" t="s">
        <v>3027</v>
      </c>
    </row>
    <row r="2" spans="1:9" s="126" customFormat="1" ht="15.75" customHeight="1">
      <c r="A2" s="572"/>
      <c r="B2" s="573" t="str">
        <f>"University of Missouri - "&amp;RBN</f>
        <v>University of Missouri - Rolla</v>
      </c>
      <c r="C2" s="574"/>
      <c r="D2" s="575"/>
      <c r="E2" s="575"/>
      <c r="F2" s="575"/>
      <c r="G2" s="575"/>
      <c r="H2" s="575"/>
      <c r="I2" s="575"/>
    </row>
    <row r="3" spans="1:9" s="130" customFormat="1" ht="15.75" customHeight="1">
      <c r="A3" s="10"/>
      <c r="B3" s="54" t="s">
        <v>3028</v>
      </c>
      <c r="C3" s="576"/>
      <c r="D3" s="12"/>
      <c r="E3" s="12"/>
      <c r="F3" s="12"/>
      <c r="G3" s="12"/>
      <c r="H3" s="12"/>
      <c r="I3" s="12"/>
    </row>
    <row r="4" spans="2:13" ht="15.75" customHeight="1">
      <c r="B4" s="132" t="str">
        <f>"  As of "&amp;TEXT(J4,"MMMM DD, YYY")</f>
        <v>  As of June 30, 2006</v>
      </c>
      <c r="C4" s="577"/>
      <c r="D4" s="16"/>
      <c r="E4" s="16"/>
      <c r="F4" s="16"/>
      <c r="G4" s="16"/>
      <c r="H4" s="16"/>
      <c r="I4" s="16"/>
      <c r="J4" s="136" t="s">
        <v>117</v>
      </c>
      <c r="M4" s="137" t="s">
        <v>118</v>
      </c>
    </row>
    <row r="5" spans="2:10" ht="12.75" customHeight="1">
      <c r="B5" s="138"/>
      <c r="C5" s="577"/>
      <c r="D5" s="16"/>
      <c r="E5" s="16"/>
      <c r="F5" s="16"/>
      <c r="G5" s="16"/>
      <c r="H5" s="16"/>
      <c r="I5" s="16"/>
      <c r="J5" s="2"/>
    </row>
    <row r="6" spans="1:9" ht="15" customHeight="1">
      <c r="A6" s="22"/>
      <c r="B6" s="152"/>
      <c r="C6" s="29"/>
      <c r="D6" s="153"/>
      <c r="E6" s="154" t="s">
        <v>1953</v>
      </c>
      <c r="F6" s="154" t="s">
        <v>1953</v>
      </c>
      <c r="G6" s="154"/>
      <c r="H6" s="154"/>
      <c r="I6" s="154" t="s">
        <v>1953</v>
      </c>
    </row>
    <row r="7" spans="1:9" ht="12.75">
      <c r="A7" s="22"/>
      <c r="B7" s="159"/>
      <c r="C7" s="160"/>
      <c r="D7" s="161"/>
      <c r="E7" s="578" t="s">
        <v>3029</v>
      </c>
      <c r="F7" s="578" t="s">
        <v>3030</v>
      </c>
      <c r="G7" s="162" t="s">
        <v>2081</v>
      </c>
      <c r="H7" s="162" t="s">
        <v>3031</v>
      </c>
      <c r="I7" s="162" t="str">
        <f>TEXT(J4,"MMMM DD, YYY")</f>
        <v>June 30, 2006</v>
      </c>
    </row>
    <row r="8" spans="1:9" ht="12.75" customHeight="1">
      <c r="A8" s="22"/>
      <c r="B8" s="23" t="s">
        <v>3032</v>
      </c>
      <c r="C8" s="163"/>
      <c r="D8" s="24"/>
      <c r="E8" s="27"/>
      <c r="F8" s="27"/>
      <c r="G8" s="27"/>
      <c r="H8" s="27"/>
      <c r="I8" s="27"/>
    </row>
    <row r="9" spans="1:9" ht="12.75" customHeight="1">
      <c r="A9" s="1" t="s">
        <v>3033</v>
      </c>
      <c r="B9" s="30" t="s">
        <v>3034</v>
      </c>
      <c r="C9" s="164"/>
      <c r="D9" s="31"/>
      <c r="E9" s="32">
        <v>180961732.67</v>
      </c>
      <c r="F9" s="34">
        <f aca="true" t="shared" si="0" ref="F9:F17">E9</f>
        <v>180961732.67</v>
      </c>
      <c r="G9" s="34">
        <v>4481875.68</v>
      </c>
      <c r="H9" s="34">
        <v>-1311403.25</v>
      </c>
      <c r="I9" s="34">
        <f aca="true" t="shared" si="1" ref="I9:I16">F9+G9+H9</f>
        <v>184132205.1</v>
      </c>
    </row>
    <row r="10" spans="1:9" ht="12.75" customHeight="1">
      <c r="A10" s="1" t="s">
        <v>3035</v>
      </c>
      <c r="B10" s="30" t="s">
        <v>3036</v>
      </c>
      <c r="C10" s="164"/>
      <c r="D10" s="31"/>
      <c r="E10" s="32">
        <v>5363176.88</v>
      </c>
      <c r="F10" s="36">
        <f t="shared" si="0"/>
        <v>5363176.88</v>
      </c>
      <c r="G10" s="36">
        <v>0</v>
      </c>
      <c r="H10" s="36">
        <v>0</v>
      </c>
      <c r="I10" s="36">
        <f t="shared" si="1"/>
        <v>5363176.88</v>
      </c>
    </row>
    <row r="11" spans="1:9" ht="12.75" customHeight="1">
      <c r="A11" s="1" t="s">
        <v>3037</v>
      </c>
      <c r="B11" s="30" t="s">
        <v>3038</v>
      </c>
      <c r="C11" s="164"/>
      <c r="D11" s="31"/>
      <c r="E11" s="32">
        <v>12628489.59</v>
      </c>
      <c r="F11" s="36">
        <f t="shared" si="0"/>
        <v>12628489.59</v>
      </c>
      <c r="G11" s="36">
        <v>2047364.08</v>
      </c>
      <c r="H11" s="36">
        <v>0</v>
      </c>
      <c r="I11" s="36">
        <f t="shared" si="1"/>
        <v>14675853.67</v>
      </c>
    </row>
    <row r="12" spans="1:9" ht="12.75" customHeight="1">
      <c r="A12" s="164" t="s">
        <v>3039</v>
      </c>
      <c r="B12" s="30" t="s">
        <v>3040</v>
      </c>
      <c r="C12" s="164"/>
      <c r="D12" s="31"/>
      <c r="E12" s="32">
        <f>35286085.59+414617</f>
        <v>35700702.59</v>
      </c>
      <c r="F12" s="36">
        <f t="shared" si="0"/>
        <v>35700702.59</v>
      </c>
      <c r="G12" s="36">
        <v>4958788.21</v>
      </c>
      <c r="H12" s="36">
        <v>-1118081.77</v>
      </c>
      <c r="I12" s="36">
        <f t="shared" si="1"/>
        <v>39541409.03</v>
      </c>
    </row>
    <row r="13" spans="1:9" ht="12.75" customHeight="1">
      <c r="A13" s="164" t="s">
        <v>3041</v>
      </c>
      <c r="B13" s="30" t="s">
        <v>3042</v>
      </c>
      <c r="C13" s="164"/>
      <c r="D13" s="31"/>
      <c r="E13" s="32">
        <v>0</v>
      </c>
      <c r="F13" s="36">
        <f t="shared" si="0"/>
        <v>0</v>
      </c>
      <c r="G13" s="36">
        <v>0</v>
      </c>
      <c r="H13" s="36">
        <v>0</v>
      </c>
      <c r="I13" s="36">
        <f t="shared" si="1"/>
        <v>0</v>
      </c>
    </row>
    <row r="14" spans="1:9" ht="12.75" customHeight="1">
      <c r="A14" s="164" t="s">
        <v>3043</v>
      </c>
      <c r="B14" s="30" t="s">
        <v>3044</v>
      </c>
      <c r="C14" s="164"/>
      <c r="D14" s="31"/>
      <c r="E14" s="32">
        <v>127093</v>
      </c>
      <c r="F14" s="36">
        <f t="shared" si="0"/>
        <v>127093</v>
      </c>
      <c r="G14" s="36">
        <v>39000</v>
      </c>
      <c r="H14" s="36">
        <v>0</v>
      </c>
      <c r="I14" s="36">
        <f t="shared" si="1"/>
        <v>166093</v>
      </c>
    </row>
    <row r="15" spans="1:9" ht="12.75" customHeight="1">
      <c r="A15" s="164" t="s">
        <v>3045</v>
      </c>
      <c r="B15" s="30" t="s">
        <v>3046</v>
      </c>
      <c r="C15" s="164"/>
      <c r="D15" s="31"/>
      <c r="E15" s="32">
        <v>19564389.52</v>
      </c>
      <c r="F15" s="36">
        <f t="shared" si="0"/>
        <v>19564389.52</v>
      </c>
      <c r="G15" s="36">
        <f>20558500.21-19564389.52</f>
        <v>994110.6900000013</v>
      </c>
      <c r="H15" s="36">
        <v>0</v>
      </c>
      <c r="I15" s="36">
        <f t="shared" si="1"/>
        <v>20558500.21</v>
      </c>
    </row>
    <row r="16" spans="1:9" ht="12.75" customHeight="1">
      <c r="A16" s="164" t="s">
        <v>3047</v>
      </c>
      <c r="B16" s="30" t="s">
        <v>3048</v>
      </c>
      <c r="C16" s="164"/>
      <c r="D16" s="31"/>
      <c r="E16" s="32">
        <v>3067315.92</v>
      </c>
      <c r="F16" s="36">
        <f t="shared" si="0"/>
        <v>3067315.92</v>
      </c>
      <c r="G16" s="36">
        <v>4300086.83</v>
      </c>
      <c r="H16" s="36">
        <v>0</v>
      </c>
      <c r="I16" s="36">
        <f t="shared" si="1"/>
        <v>7367402.75</v>
      </c>
    </row>
    <row r="17" spans="1:9" s="171" customFormat="1" ht="12.75" customHeight="1">
      <c r="A17" s="163" t="s">
        <v>2792</v>
      </c>
      <c r="B17" s="23"/>
      <c r="C17" s="163"/>
      <c r="D17" s="24"/>
      <c r="E17" s="27"/>
      <c r="F17" s="39">
        <f t="shared" si="0"/>
        <v>0</v>
      </c>
      <c r="G17" s="39"/>
      <c r="H17" s="39"/>
      <c r="I17" s="39"/>
    </row>
    <row r="18" spans="1:9" s="171" customFormat="1" ht="12.75" customHeight="1">
      <c r="A18" s="163" t="s">
        <v>2792</v>
      </c>
      <c r="B18" s="23" t="s">
        <v>3049</v>
      </c>
      <c r="C18" s="163"/>
      <c r="D18" s="24"/>
      <c r="E18" s="27">
        <f>E16+E15+E14+E13+E12+E11+E10+E9</f>
        <v>257412900.17</v>
      </c>
      <c r="F18" s="39">
        <f>F16+F15+F14+F13+F12+F11+F10+F9</f>
        <v>257412900.17</v>
      </c>
      <c r="G18" s="39">
        <f>G16+G15+G14+G13+G12+G11+G10+G9</f>
        <v>16821225.490000002</v>
      </c>
      <c r="H18" s="39">
        <f>H16+H15+H14+H13+H12+H11+H10+H9</f>
        <v>-2429485.02</v>
      </c>
      <c r="I18" s="39">
        <f>I16+I15+I14+I13+I12+I11+I10+I9</f>
        <v>271804640.64</v>
      </c>
    </row>
    <row r="19" spans="1:9" s="171" customFormat="1" ht="12.75" customHeight="1">
      <c r="A19" s="163" t="s">
        <v>2792</v>
      </c>
      <c r="B19" s="23"/>
      <c r="C19" s="163"/>
      <c r="D19" s="24"/>
      <c r="E19" s="27"/>
      <c r="F19" s="39"/>
      <c r="G19" s="39"/>
      <c r="H19" s="39"/>
      <c r="I19" s="39"/>
    </row>
    <row r="20" spans="1:9" s="171" customFormat="1" ht="12.75" customHeight="1">
      <c r="A20" s="163" t="s">
        <v>2792</v>
      </c>
      <c r="B20" s="23" t="s">
        <v>3050</v>
      </c>
      <c r="C20" s="163"/>
      <c r="D20" s="24"/>
      <c r="E20" s="27"/>
      <c r="F20" s="39"/>
      <c r="G20" s="39"/>
      <c r="H20" s="39"/>
      <c r="I20" s="39"/>
    </row>
    <row r="21" spans="1:9" ht="12.75" customHeight="1">
      <c r="A21" s="164" t="s">
        <v>3051</v>
      </c>
      <c r="B21" s="30"/>
      <c r="C21" s="164" t="s">
        <v>3052</v>
      </c>
      <c r="D21" s="31"/>
      <c r="E21" s="32">
        <v>-60063406.21</v>
      </c>
      <c r="F21" s="36">
        <f>-E21</f>
        <v>60063406.21</v>
      </c>
      <c r="G21" s="36">
        <v>4320425.4888</v>
      </c>
      <c r="H21" s="36">
        <v>-614713.41</v>
      </c>
      <c r="I21" s="36">
        <f>F21+G21+H21</f>
        <v>63769118.2888</v>
      </c>
    </row>
    <row r="22" spans="1:9" ht="12.75" customHeight="1">
      <c r="A22" s="164" t="s">
        <v>3053</v>
      </c>
      <c r="B22" s="30"/>
      <c r="C22" s="164" t="s">
        <v>280</v>
      </c>
      <c r="D22" s="31"/>
      <c r="E22" s="32">
        <v>-7448080.52</v>
      </c>
      <c r="F22" s="36">
        <f>-E22</f>
        <v>7448080.52</v>
      </c>
      <c r="G22" s="36">
        <v>340351.0932</v>
      </c>
      <c r="H22" s="36">
        <v>0</v>
      </c>
      <c r="I22" s="36">
        <f>F22+G22+H22</f>
        <v>7788431.6132</v>
      </c>
    </row>
    <row r="23" spans="1:9" ht="12.75" customHeight="1">
      <c r="A23" s="164" t="s">
        <v>3054</v>
      </c>
      <c r="B23" s="30"/>
      <c r="C23" s="164" t="s">
        <v>3055</v>
      </c>
      <c r="D23" s="31"/>
      <c r="E23" s="32">
        <v>-10875314.33</v>
      </c>
      <c r="F23" s="36">
        <f>-E23</f>
        <v>10875314.33</v>
      </c>
      <c r="G23" s="36">
        <f>11530413-10875314</f>
        <v>655099</v>
      </c>
      <c r="H23" s="36">
        <v>0</v>
      </c>
      <c r="I23" s="36">
        <f>F23+G23+H23</f>
        <v>11530413.33</v>
      </c>
    </row>
    <row r="24" spans="1:9" ht="12.75" customHeight="1">
      <c r="A24" s="164" t="s">
        <v>3056</v>
      </c>
      <c r="B24" s="30"/>
      <c r="C24" s="164" t="s">
        <v>3057</v>
      </c>
      <c r="D24" s="31"/>
      <c r="E24" s="32">
        <v>-23003940.23</v>
      </c>
      <c r="F24" s="36">
        <f>-E24</f>
        <v>23003940.23</v>
      </c>
      <c r="G24" s="36">
        <f>2888011.3115+11295</f>
        <v>2899306.3115</v>
      </c>
      <c r="H24" s="36">
        <f>-1079635.03-11295</f>
        <v>-1090930.03</v>
      </c>
      <c r="I24" s="36">
        <f>F24+G24+H24</f>
        <v>24812316.5115</v>
      </c>
    </row>
    <row r="25" spans="1:9" ht="12.75" customHeight="1">
      <c r="A25" s="1"/>
      <c r="B25" s="30"/>
      <c r="C25" s="164"/>
      <c r="D25" s="31"/>
      <c r="E25" s="32"/>
      <c r="F25" s="36"/>
      <c r="G25" s="36"/>
      <c r="H25" s="36"/>
      <c r="I25" s="36"/>
    </row>
    <row r="26" spans="1:9" s="171" customFormat="1" ht="12.75" customHeight="1">
      <c r="A26" s="29"/>
      <c r="B26" s="23" t="s">
        <v>3058</v>
      </c>
      <c r="C26" s="163"/>
      <c r="D26" s="24"/>
      <c r="E26" s="27">
        <f>E21+E22+E24</f>
        <v>-90515426.96000001</v>
      </c>
      <c r="F26" s="39">
        <f>F21+F22+F24+F23</f>
        <v>101390741.29</v>
      </c>
      <c r="G26" s="39">
        <f>G21+G22+G24+G23</f>
        <v>8215181.8935</v>
      </c>
      <c r="H26" s="39">
        <f>H21+H22+H24+H23</f>
        <v>-1705643.44</v>
      </c>
      <c r="I26" s="39">
        <f>I21+I22+I24+I23</f>
        <v>107900279.7435</v>
      </c>
    </row>
    <row r="27" spans="1:9" ht="12.75" customHeight="1">
      <c r="A27" s="1"/>
      <c r="B27" s="30"/>
      <c r="C27" s="164"/>
      <c r="D27" s="31"/>
      <c r="E27" s="32"/>
      <c r="F27" s="36"/>
      <c r="G27" s="36"/>
      <c r="H27" s="36"/>
      <c r="I27" s="36"/>
    </row>
    <row r="28" spans="1:9" ht="12.75" customHeight="1">
      <c r="A28" s="29"/>
      <c r="B28" s="23" t="s">
        <v>3059</v>
      </c>
      <c r="C28" s="163"/>
      <c r="D28" s="24"/>
      <c r="E28" s="27">
        <f>E18-E26</f>
        <v>347928327.13</v>
      </c>
      <c r="F28" s="41">
        <f>F18-F26</f>
        <v>156022158.88</v>
      </c>
      <c r="G28" s="41">
        <f>G18-G26</f>
        <v>8606043.596500002</v>
      </c>
      <c r="H28" s="41">
        <f>H18-H26</f>
        <v>-723841.5800000001</v>
      </c>
      <c r="I28" s="41">
        <f>I18-I26</f>
        <v>163904360.8965</v>
      </c>
    </row>
    <row r="64" spans="5:6" ht="12.75">
      <c r="E64" s="579"/>
      <c r="F64" s="579"/>
    </row>
  </sheetData>
  <printOptions horizontalCentered="1"/>
  <pageMargins left="0.5" right="0.5" top="0.75" bottom="0.25" header="0.2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5" zoomScaleNormal="85" workbookViewId="0" topLeftCell="A1">
      <pane xSplit="1" ySplit="6" topLeftCell="B7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C32" sqref="C32"/>
    </sheetView>
  </sheetViews>
  <sheetFormatPr defaultColWidth="9.7109375" defaultRowHeight="12.75"/>
  <cols>
    <col min="1" max="1" width="87.140625" style="583" customWidth="1"/>
    <col min="2" max="3" width="15.7109375" style="583" customWidth="1"/>
    <col min="4" max="4" width="14.8515625" style="583" customWidth="1"/>
    <col min="5" max="5" width="14.421875" style="583" hidden="1" customWidth="1"/>
    <col min="6" max="6" width="15.7109375" style="120" customWidth="1"/>
    <col min="7" max="7" width="15.7109375" style="120" hidden="1" customWidth="1"/>
    <col min="8" max="8" width="15.7109375" style="583" customWidth="1"/>
    <col min="9" max="9" width="12.7109375" style="583" customWidth="1"/>
    <col min="10" max="10" width="13.7109375" style="583" customWidth="1"/>
    <col min="11" max="11" width="12.7109375" style="583" customWidth="1"/>
    <col min="12" max="12" width="14.7109375" style="583" customWidth="1"/>
    <col min="13" max="16384" width="9.7109375" style="583" customWidth="1"/>
  </cols>
  <sheetData>
    <row r="1" spans="1:8" ht="15.75" customHeight="1">
      <c r="A1" s="580" t="s">
        <v>3060</v>
      </c>
      <c r="B1" s="581" t="s">
        <v>3061</v>
      </c>
      <c r="C1" s="581"/>
      <c r="D1" s="581"/>
      <c r="E1" s="581"/>
      <c r="F1" s="581"/>
      <c r="G1" s="581"/>
      <c r="H1" s="582"/>
    </row>
    <row r="2" spans="1:8" ht="15.75" customHeight="1">
      <c r="A2" s="439" t="s">
        <v>3062</v>
      </c>
      <c r="B2" s="442" t="s">
        <v>3061</v>
      </c>
      <c r="C2" s="442"/>
      <c r="D2" s="442"/>
      <c r="E2" s="442"/>
      <c r="F2" s="442"/>
      <c r="G2" s="442"/>
      <c r="H2" s="135"/>
    </row>
    <row r="3" spans="1:8" ht="15.75" customHeight="1">
      <c r="A3" s="584" t="s">
        <v>3063</v>
      </c>
      <c r="B3" s="585"/>
      <c r="C3" s="442"/>
      <c r="D3" s="442"/>
      <c r="E3" s="442"/>
      <c r="F3" s="442"/>
      <c r="G3" s="442"/>
      <c r="H3" s="135"/>
    </row>
    <row r="4" spans="1:8" ht="12.75" customHeight="1">
      <c r="A4" s="584"/>
      <c r="B4" s="585"/>
      <c r="C4" s="442"/>
      <c r="D4" s="442"/>
      <c r="E4" s="442"/>
      <c r="F4" s="442"/>
      <c r="G4" s="442"/>
      <c r="H4" s="135"/>
    </row>
    <row r="5" spans="1:9" s="120" customFormat="1" ht="15" customHeight="1">
      <c r="A5" s="586" t="s">
        <v>3064</v>
      </c>
      <c r="B5" s="587" t="s">
        <v>3065</v>
      </c>
      <c r="C5" s="588" t="s">
        <v>1953</v>
      </c>
      <c r="D5" s="589"/>
      <c r="E5" s="589"/>
      <c r="F5" s="589"/>
      <c r="G5" s="590"/>
      <c r="H5" s="591" t="s">
        <v>1953</v>
      </c>
      <c r="I5" s="592"/>
    </row>
    <row r="6" spans="1:9" ht="12.75" customHeight="1">
      <c r="A6" s="593" t="s">
        <v>3064</v>
      </c>
      <c r="B6" s="594" t="s">
        <v>3066</v>
      </c>
      <c r="C6" s="595">
        <v>38534</v>
      </c>
      <c r="D6" s="596" t="s">
        <v>2081</v>
      </c>
      <c r="E6" s="596" t="s">
        <v>3067</v>
      </c>
      <c r="F6" s="597" t="s">
        <v>3068</v>
      </c>
      <c r="G6" s="598" t="s">
        <v>3069</v>
      </c>
      <c r="H6" s="599">
        <v>38898</v>
      </c>
      <c r="I6" s="600"/>
    </row>
    <row r="7" spans="1:9" ht="12.75" customHeight="1">
      <c r="A7" s="601" t="s">
        <v>3070</v>
      </c>
      <c r="B7" s="602" t="s">
        <v>3061</v>
      </c>
      <c r="C7" s="602"/>
      <c r="D7" s="602"/>
      <c r="E7" s="602"/>
      <c r="F7" s="602"/>
      <c r="G7" s="602"/>
      <c r="H7" s="602"/>
      <c r="I7" s="603"/>
    </row>
    <row r="8" spans="1:9" ht="12.75" customHeight="1">
      <c r="A8" s="604"/>
      <c r="B8" s="605"/>
      <c r="C8" s="606"/>
      <c r="D8" s="605"/>
      <c r="E8" s="605"/>
      <c r="F8" s="606"/>
      <c r="G8" s="606"/>
      <c r="H8" s="605"/>
      <c r="I8" s="603"/>
    </row>
    <row r="9" spans="1:9" ht="12.75" customHeight="1">
      <c r="A9" s="607" t="s">
        <v>3071</v>
      </c>
      <c r="B9" s="605"/>
      <c r="C9" s="606"/>
      <c r="D9" s="605"/>
      <c r="E9" s="605"/>
      <c r="F9" s="606"/>
      <c r="G9" s="606"/>
      <c r="H9" s="605"/>
      <c r="I9" s="603"/>
    </row>
    <row r="10" spans="1:9" ht="12.75" customHeight="1">
      <c r="A10" s="607" t="s">
        <v>3072</v>
      </c>
      <c r="B10" s="608">
        <v>500000</v>
      </c>
      <c r="C10" s="609">
        <v>500000</v>
      </c>
      <c r="D10" s="608">
        <v>0</v>
      </c>
      <c r="E10" s="608">
        <v>0</v>
      </c>
      <c r="F10" s="609">
        <v>0</v>
      </c>
      <c r="G10" s="609"/>
      <c r="H10" s="608">
        <f>C10-F10-E10+D10</f>
        <v>500000</v>
      </c>
      <c r="I10" s="603"/>
    </row>
    <row r="11" spans="1:9" ht="12.75" customHeight="1">
      <c r="A11" s="607"/>
      <c r="B11" s="610"/>
      <c r="C11" s="611"/>
      <c r="D11" s="610"/>
      <c r="E11" s="610"/>
      <c r="F11" s="611"/>
      <c r="G11" s="611"/>
      <c r="H11" s="610"/>
      <c r="I11" s="603"/>
    </row>
    <row r="12" spans="1:9" ht="12.75" customHeight="1">
      <c r="A12" s="607" t="s">
        <v>3073</v>
      </c>
      <c r="B12" s="610"/>
      <c r="C12" s="611"/>
      <c r="D12" s="610"/>
      <c r="E12" s="610"/>
      <c r="F12" s="611"/>
      <c r="G12" s="611"/>
      <c r="H12" s="610"/>
      <c r="I12" s="603"/>
    </row>
    <row r="13" spans="1:9" ht="12.75" customHeight="1">
      <c r="A13" s="612" t="s">
        <v>3074</v>
      </c>
      <c r="B13" s="610">
        <v>25050000</v>
      </c>
      <c r="C13" s="611">
        <v>24890000</v>
      </c>
      <c r="D13" s="610">
        <v>0</v>
      </c>
      <c r="E13" s="610">
        <v>0</v>
      </c>
      <c r="F13" s="611">
        <v>355000</v>
      </c>
      <c r="G13" s="611"/>
      <c r="H13" s="610">
        <f>C13-F13-E13+D13</f>
        <v>24535000</v>
      </c>
      <c r="I13" s="603"/>
    </row>
    <row r="14" spans="1:9" ht="12.75" customHeight="1">
      <c r="A14" s="607"/>
      <c r="B14" s="610"/>
      <c r="C14" s="611"/>
      <c r="D14" s="610"/>
      <c r="E14" s="610"/>
      <c r="F14" s="611"/>
      <c r="G14" s="611"/>
      <c r="H14" s="610"/>
      <c r="I14" s="603"/>
    </row>
    <row r="15" spans="1:9" ht="12.75" customHeight="1">
      <c r="A15" s="607" t="s">
        <v>3073</v>
      </c>
      <c r="B15" s="610"/>
      <c r="C15" s="611"/>
      <c r="D15" s="610"/>
      <c r="E15" s="610"/>
      <c r="F15" s="611"/>
      <c r="G15" s="611"/>
      <c r="H15" s="610"/>
      <c r="I15" s="603"/>
    </row>
    <row r="16" spans="1:9" ht="12.75" customHeight="1">
      <c r="A16" s="612" t="s">
        <v>3075</v>
      </c>
      <c r="B16" s="610">
        <v>7637260</v>
      </c>
      <c r="C16" s="611">
        <v>7360272</v>
      </c>
      <c r="D16" s="610">
        <v>0</v>
      </c>
      <c r="E16" s="610">
        <v>0</v>
      </c>
      <c r="F16" s="611">
        <v>283167</v>
      </c>
      <c r="G16" s="611"/>
      <c r="H16" s="610">
        <f>C16-F16-E16+D16</f>
        <v>7077105</v>
      </c>
      <c r="I16" s="603"/>
    </row>
    <row r="17" spans="1:9" ht="12.75" customHeight="1">
      <c r="A17" s="607"/>
      <c r="B17" s="610"/>
      <c r="C17" s="611"/>
      <c r="D17" s="610"/>
      <c r="E17" s="610"/>
      <c r="F17" s="611"/>
      <c r="G17" s="611"/>
      <c r="H17" s="610"/>
      <c r="I17" s="603"/>
    </row>
    <row r="18" spans="1:9" ht="12.75" customHeight="1">
      <c r="A18" s="613" t="s">
        <v>3076</v>
      </c>
      <c r="B18" s="610">
        <v>0</v>
      </c>
      <c r="C18" s="611">
        <v>810945</v>
      </c>
      <c r="D18" s="610">
        <v>0</v>
      </c>
      <c r="E18" s="610">
        <v>0</v>
      </c>
      <c r="F18" s="611">
        <v>-32124</v>
      </c>
      <c r="G18" s="611"/>
      <c r="H18" s="610">
        <f>SUM(B18:G18)</f>
        <v>778821</v>
      </c>
      <c r="I18" s="603"/>
    </row>
    <row r="19" spans="1:9" ht="12.75" customHeight="1">
      <c r="A19" s="613" t="s">
        <v>3077</v>
      </c>
      <c r="B19" s="610">
        <v>0</v>
      </c>
      <c r="C19" s="611">
        <v>-227063</v>
      </c>
      <c r="D19" s="610">
        <v>0</v>
      </c>
      <c r="E19" s="610">
        <v>0</v>
      </c>
      <c r="F19" s="611">
        <v>12329</v>
      </c>
      <c r="G19" s="611"/>
      <c r="H19" s="610">
        <f>SUM(B19:G19)</f>
        <v>-214734</v>
      </c>
      <c r="I19" s="603"/>
    </row>
    <row r="20" spans="1:9" ht="12.75" customHeight="1">
      <c r="A20" s="607" t="s">
        <v>3064</v>
      </c>
      <c r="B20" s="610"/>
      <c r="C20" s="610"/>
      <c r="D20" s="610"/>
      <c r="E20" s="610"/>
      <c r="F20" s="611"/>
      <c r="G20" s="611"/>
      <c r="H20" s="610"/>
      <c r="I20" s="603"/>
    </row>
    <row r="21" spans="1:9" s="639" customFormat="1" ht="12.75" customHeight="1">
      <c r="A21" s="614" t="s">
        <v>3078</v>
      </c>
      <c r="B21" s="638">
        <f aca="true" t="shared" si="0" ref="B21:H21">SUM(B8:B20)</f>
        <v>33187260</v>
      </c>
      <c r="C21" s="638">
        <f t="shared" si="0"/>
        <v>33334154</v>
      </c>
      <c r="D21" s="637">
        <f t="shared" si="0"/>
        <v>0</v>
      </c>
      <c r="E21" s="637">
        <f t="shared" si="0"/>
        <v>0</v>
      </c>
      <c r="F21" s="637">
        <f t="shared" si="0"/>
        <v>618372</v>
      </c>
      <c r="G21" s="637">
        <f t="shared" si="0"/>
        <v>0</v>
      </c>
      <c r="H21" s="638">
        <f t="shared" si="0"/>
        <v>32676192</v>
      </c>
      <c r="I21" s="600"/>
    </row>
    <row r="22" spans="1:9" ht="12.75" customHeight="1">
      <c r="A22" s="615"/>
      <c r="B22" s="615"/>
      <c r="C22" s="615"/>
      <c r="D22" s="615"/>
      <c r="E22" s="615"/>
      <c r="F22" s="616"/>
      <c r="G22" s="616"/>
      <c r="H22" s="615"/>
      <c r="I22" s="603"/>
    </row>
    <row r="23" spans="1:9" ht="12.75" customHeight="1">
      <c r="A23" s="615"/>
      <c r="B23" s="615"/>
      <c r="C23" s="615"/>
      <c r="D23" s="615"/>
      <c r="E23" s="615"/>
      <c r="F23" s="616"/>
      <c r="G23" s="616"/>
      <c r="H23" s="615"/>
      <c r="I23" s="603"/>
    </row>
    <row r="24" spans="1:9" ht="12.75" customHeight="1">
      <c r="A24" s="615"/>
      <c r="B24" s="615"/>
      <c r="C24" s="615"/>
      <c r="D24" s="615"/>
      <c r="E24" s="615"/>
      <c r="F24" s="617"/>
      <c r="G24" s="617"/>
      <c r="H24" s="615"/>
      <c r="I24" s="603"/>
    </row>
    <row r="25" spans="1:9" ht="12.75" customHeight="1">
      <c r="A25" s="615"/>
      <c r="B25" s="615"/>
      <c r="C25" s="615"/>
      <c r="D25" s="615"/>
      <c r="E25" s="615"/>
      <c r="F25" s="618"/>
      <c r="G25" s="618"/>
      <c r="H25" s="619"/>
      <c r="I25" s="603"/>
    </row>
    <row r="26" ht="12.75" customHeight="1"/>
    <row r="27" spans="6:8" ht="12.75" customHeight="1">
      <c r="F27" s="620"/>
      <c r="G27" s="620"/>
      <c r="H27" s="62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printOptions horizontalCentered="1"/>
  <pageMargins left="0.5" right="0.5" top="0.75" bottom="0.5" header="0.5" footer="0"/>
  <pageSetup fitToHeight="1" fitToWidth="1"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73"/>
  <sheetViews>
    <sheetView workbookViewId="0" topLeftCell="C2">
      <selection activeCell="C22" sqref="C22"/>
    </sheetView>
  </sheetViews>
  <sheetFormatPr defaultColWidth="9.140625" defaultRowHeight="12.75" outlineLevelRow="1"/>
  <cols>
    <col min="1" max="2" width="9.140625" style="424" hidden="1" customWidth="1"/>
    <col min="3" max="3" width="89.7109375" style="424" customWidth="1"/>
    <col min="4" max="4" width="19.7109375" style="424" hidden="1" customWidth="1"/>
    <col min="5" max="5" width="12.421875" style="424" hidden="1" customWidth="1"/>
    <col min="6" max="8" width="20.7109375" style="622" customWidth="1"/>
    <col min="9" max="9" width="20.7109375" style="623" customWidth="1"/>
    <col min="10" max="16384" width="9.140625" style="424" customWidth="1"/>
  </cols>
  <sheetData>
    <row r="1" spans="1:9" ht="12.75" hidden="1">
      <c r="A1" s="424" t="s">
        <v>3079</v>
      </c>
      <c r="B1" s="424" t="s">
        <v>2793</v>
      </c>
      <c r="C1" s="424" t="s">
        <v>2794</v>
      </c>
      <c r="D1" s="424" t="s">
        <v>3080</v>
      </c>
      <c r="F1" s="622" t="s">
        <v>3081</v>
      </c>
      <c r="G1" s="622" t="s">
        <v>3082</v>
      </c>
      <c r="H1" s="622" t="s">
        <v>3083</v>
      </c>
      <c r="I1" s="623" t="s">
        <v>2794</v>
      </c>
    </row>
    <row r="2" spans="3:24" s="437" customFormat="1" ht="15.75" customHeight="1">
      <c r="C2" s="624" t="str">
        <f>"University of Missouri - "&amp;X4</f>
        <v>University of Missouri - Rolla</v>
      </c>
      <c r="D2" s="625"/>
      <c r="E2" s="625"/>
      <c r="F2" s="626"/>
      <c r="G2" s="626"/>
      <c r="H2" s="626"/>
      <c r="I2" s="627"/>
      <c r="K2" s="436" t="s">
        <v>118</v>
      </c>
      <c r="X2" s="436" t="s">
        <v>3084</v>
      </c>
    </row>
    <row r="3" spans="3:24" s="437" customFormat="1" ht="15.75" customHeight="1">
      <c r="C3" s="625" t="s">
        <v>3085</v>
      </c>
      <c r="D3" s="625"/>
      <c r="E3" s="625"/>
      <c r="F3" s="626"/>
      <c r="G3" s="626"/>
      <c r="H3" s="626"/>
      <c r="I3" s="627"/>
      <c r="X3" s="436" t="s">
        <v>3086</v>
      </c>
    </row>
    <row r="4" spans="3:24" ht="15.75" customHeight="1">
      <c r="C4" s="628" t="str">
        <f>"As of "&amp;TEXT(K5,"MMMM DD, YYY")</f>
        <v>As of June 30, 2006</v>
      </c>
      <c r="D4" s="628"/>
      <c r="E4" s="628"/>
      <c r="F4" s="629"/>
      <c r="G4" s="629"/>
      <c r="H4" s="629"/>
      <c r="I4" s="630"/>
      <c r="X4" s="446" t="s">
        <v>118</v>
      </c>
    </row>
    <row r="5" spans="3:24" ht="12.75" customHeight="1">
      <c r="C5" s="546"/>
      <c r="D5" s="546"/>
      <c r="E5" s="546"/>
      <c r="F5" s="629"/>
      <c r="G5" s="629"/>
      <c r="H5" s="629"/>
      <c r="I5" s="630"/>
      <c r="K5" s="446" t="s">
        <v>117</v>
      </c>
      <c r="X5" s="631" t="s">
        <v>117</v>
      </c>
    </row>
    <row r="6" spans="1:9" s="462" customFormat="1" ht="30" customHeight="1">
      <c r="A6" s="462" t="s">
        <v>2793</v>
      </c>
      <c r="B6" s="502" t="s">
        <v>3087</v>
      </c>
      <c r="C6" s="502" t="s">
        <v>3087</v>
      </c>
      <c r="D6" s="632" t="s">
        <v>3088</v>
      </c>
      <c r="E6" s="632"/>
      <c r="F6" s="633" t="s">
        <v>3089</v>
      </c>
      <c r="G6" s="633" t="s">
        <v>3090</v>
      </c>
      <c r="H6" s="633" t="s">
        <v>3091</v>
      </c>
      <c r="I6" s="634" t="s">
        <v>3092</v>
      </c>
    </row>
    <row r="7" spans="1:9" ht="12.75" outlineLevel="1">
      <c r="A7" s="424" t="s">
        <v>3093</v>
      </c>
      <c r="B7" s="424" t="s">
        <v>3094</v>
      </c>
      <c r="C7" s="424" t="str">
        <f aca="true" t="shared" si="0" ref="C7:C38">UPPER(B7)</f>
        <v>ANNUAL AAAA CONFERENCE</v>
      </c>
      <c r="D7" s="424" t="s">
        <v>3095</v>
      </c>
      <c r="F7" s="635">
        <v>0</v>
      </c>
      <c r="G7" s="635">
        <v>1725</v>
      </c>
      <c r="H7" s="635">
        <v>1725</v>
      </c>
      <c r="I7" s="635">
        <f aca="true" t="shared" si="1" ref="I7:I38">(F7+G7-H7)</f>
        <v>0</v>
      </c>
    </row>
    <row r="8" spans="1:9" ht="12.75" outlineLevel="1">
      <c r="A8" s="424" t="s">
        <v>3096</v>
      </c>
      <c r="B8" s="424" t="s">
        <v>3097</v>
      </c>
      <c r="C8" s="424" t="str">
        <f t="shared" si="0"/>
        <v>MISSOURI COLLEGE GUARANTEE PRO</v>
      </c>
      <c r="D8" s="424" t="s">
        <v>3098</v>
      </c>
      <c r="F8" s="636">
        <v>0</v>
      </c>
      <c r="G8" s="636">
        <v>662088</v>
      </c>
      <c r="H8" s="636">
        <v>662088</v>
      </c>
      <c r="I8" s="636">
        <f t="shared" si="1"/>
        <v>0</v>
      </c>
    </row>
    <row r="9" spans="1:9" ht="12.75" outlineLevel="1">
      <c r="A9" s="424" t="s">
        <v>3099</v>
      </c>
      <c r="B9" s="424" t="s">
        <v>3100</v>
      </c>
      <c r="C9" s="424" t="str">
        <f t="shared" si="0"/>
        <v>AGENCY SCH FUND FY 01-02</v>
      </c>
      <c r="D9" s="424" t="s">
        <v>3101</v>
      </c>
      <c r="F9" s="636">
        <v>5532.4</v>
      </c>
      <c r="G9" s="636">
        <v>1025</v>
      </c>
      <c r="H9" s="636">
        <v>0</v>
      </c>
      <c r="I9" s="636">
        <f t="shared" si="1"/>
        <v>6557.4</v>
      </c>
    </row>
    <row r="10" spans="1:9" ht="12.75" outlineLevel="1">
      <c r="A10" s="424" t="s">
        <v>3102</v>
      </c>
      <c r="B10" s="424" t="s">
        <v>3103</v>
      </c>
      <c r="C10" s="424" t="str">
        <f t="shared" si="0"/>
        <v>FORD DIRECT LOAN FY 96-97</v>
      </c>
      <c r="D10" s="424" t="s">
        <v>3104</v>
      </c>
      <c r="F10" s="636">
        <v>2064</v>
      </c>
      <c r="G10" s="636">
        <v>0</v>
      </c>
      <c r="H10" s="636">
        <v>0</v>
      </c>
      <c r="I10" s="636">
        <f t="shared" si="1"/>
        <v>2064</v>
      </c>
    </row>
    <row r="11" spans="1:9" ht="12.75" outlineLevel="1">
      <c r="A11" s="424" t="s">
        <v>3105</v>
      </c>
      <c r="B11" s="424" t="s">
        <v>3106</v>
      </c>
      <c r="C11" s="424" t="str">
        <f t="shared" si="0"/>
        <v>MISSOURI BRIGHT FLIGHT SCH</v>
      </c>
      <c r="D11" s="424" t="s">
        <v>3107</v>
      </c>
      <c r="F11" s="636">
        <v>0</v>
      </c>
      <c r="G11" s="636">
        <v>1621000</v>
      </c>
      <c r="H11" s="636">
        <v>1621000</v>
      </c>
      <c r="I11" s="636">
        <f t="shared" si="1"/>
        <v>0</v>
      </c>
    </row>
    <row r="12" spans="1:9" ht="12.75" outlineLevel="1">
      <c r="A12" s="424" t="s">
        <v>3108</v>
      </c>
      <c r="B12" s="424" t="s">
        <v>3109</v>
      </c>
      <c r="C12" s="424" t="str">
        <f t="shared" si="0"/>
        <v>MISSOURI GALLAGHER GRANT</v>
      </c>
      <c r="D12" s="424" t="s">
        <v>3110</v>
      </c>
      <c r="F12" s="636">
        <v>0</v>
      </c>
      <c r="G12" s="636">
        <v>243168</v>
      </c>
      <c r="H12" s="636">
        <v>243168</v>
      </c>
      <c r="I12" s="636">
        <f t="shared" si="1"/>
        <v>0</v>
      </c>
    </row>
    <row r="13" spans="1:9" ht="12.75" outlineLevel="1">
      <c r="A13" s="424" t="s">
        <v>3111</v>
      </c>
      <c r="B13" s="424" t="s">
        <v>3112</v>
      </c>
      <c r="C13" s="424" t="str">
        <f t="shared" si="0"/>
        <v>MISSOURI BRIDGE SCHOLARSHIP</v>
      </c>
      <c r="D13" s="424" t="s">
        <v>3113</v>
      </c>
      <c r="F13" s="636">
        <v>1</v>
      </c>
      <c r="G13" s="636">
        <v>0</v>
      </c>
      <c r="H13" s="636">
        <v>0</v>
      </c>
      <c r="I13" s="636">
        <f t="shared" si="1"/>
        <v>1</v>
      </c>
    </row>
    <row r="14" spans="1:9" ht="12.75" outlineLevel="1">
      <c r="A14" s="424" t="s">
        <v>3114</v>
      </c>
      <c r="B14" s="424" t="s">
        <v>3115</v>
      </c>
      <c r="C14" s="424" t="str">
        <f t="shared" si="0"/>
        <v>ADM &amp; STUDENT FIN AID ENDOW FD</v>
      </c>
      <c r="D14" s="424" t="s">
        <v>3116</v>
      </c>
      <c r="F14" s="636">
        <v>-4613.08</v>
      </c>
      <c r="G14" s="636">
        <v>-63.95</v>
      </c>
      <c r="H14" s="636">
        <v>0</v>
      </c>
      <c r="I14" s="636">
        <f t="shared" si="1"/>
        <v>-4677.03</v>
      </c>
    </row>
    <row r="15" spans="1:9" ht="12.75" outlineLevel="1">
      <c r="A15" s="424" t="s">
        <v>3117</v>
      </c>
      <c r="B15" s="424" t="s">
        <v>3118</v>
      </c>
      <c r="C15" s="424" t="str">
        <f t="shared" si="0"/>
        <v>GEAR UP PLUS</v>
      </c>
      <c r="D15" s="424" t="s">
        <v>3119</v>
      </c>
      <c r="F15" s="636">
        <v>-450</v>
      </c>
      <c r="G15" s="636">
        <v>0</v>
      </c>
      <c r="H15" s="636">
        <v>0</v>
      </c>
      <c r="I15" s="636">
        <f t="shared" si="1"/>
        <v>-450</v>
      </c>
    </row>
    <row r="16" spans="1:9" ht="12.75" outlineLevel="1">
      <c r="A16" s="424" t="s">
        <v>3120</v>
      </c>
      <c r="B16" s="424" t="s">
        <v>3121</v>
      </c>
      <c r="C16" s="424" t="str">
        <f t="shared" si="0"/>
        <v>FORD FEDERAL DIRECT LOAN 02-03</v>
      </c>
      <c r="D16" s="424" t="s">
        <v>3122</v>
      </c>
      <c r="F16" s="636">
        <v>-2709</v>
      </c>
      <c r="G16" s="636">
        <v>0</v>
      </c>
      <c r="H16" s="636">
        <v>0</v>
      </c>
      <c r="I16" s="636">
        <f t="shared" si="1"/>
        <v>-2709</v>
      </c>
    </row>
    <row r="17" spans="1:9" ht="12.75" outlineLevel="1">
      <c r="A17" s="424" t="s">
        <v>3123</v>
      </c>
      <c r="B17" s="424" t="s">
        <v>3124</v>
      </c>
      <c r="C17" s="424" t="str">
        <f t="shared" si="0"/>
        <v>PLUS LOAN</v>
      </c>
      <c r="D17" s="424" t="s">
        <v>3125</v>
      </c>
      <c r="F17" s="636">
        <v>-13804.6</v>
      </c>
      <c r="G17" s="636">
        <v>0</v>
      </c>
      <c r="H17" s="636">
        <v>0</v>
      </c>
      <c r="I17" s="636">
        <f t="shared" si="1"/>
        <v>-13804.6</v>
      </c>
    </row>
    <row r="18" spans="1:9" ht="12.75" outlineLevel="1">
      <c r="A18" s="424" t="s">
        <v>3126</v>
      </c>
      <c r="B18" s="424" t="s">
        <v>3127</v>
      </c>
      <c r="C18" s="424" t="str">
        <f t="shared" si="0"/>
        <v>FORD FEDERAL DIRECT STUDENT</v>
      </c>
      <c r="D18" s="424" t="s">
        <v>3128</v>
      </c>
      <c r="F18" s="636">
        <v>-5174</v>
      </c>
      <c r="G18" s="636">
        <v>0</v>
      </c>
      <c r="H18" s="636">
        <v>0</v>
      </c>
      <c r="I18" s="636">
        <f t="shared" si="1"/>
        <v>-5174</v>
      </c>
    </row>
    <row r="19" spans="1:9" ht="12.75" outlineLevel="1">
      <c r="A19" s="424" t="s">
        <v>3129</v>
      </c>
      <c r="B19" s="424" t="s">
        <v>3130</v>
      </c>
      <c r="C19" s="424" t="str">
        <f t="shared" si="0"/>
        <v>PLUS LOAN-FY 03/04</v>
      </c>
      <c r="D19" s="424" t="s">
        <v>3131</v>
      </c>
      <c r="F19" s="636">
        <v>6837.53</v>
      </c>
      <c r="G19" s="636">
        <v>0</v>
      </c>
      <c r="H19" s="636">
        <v>0</v>
      </c>
      <c r="I19" s="636">
        <f t="shared" si="1"/>
        <v>6837.53</v>
      </c>
    </row>
    <row r="20" spans="1:9" ht="12.75" outlineLevel="1">
      <c r="A20" s="424" t="s">
        <v>3132</v>
      </c>
      <c r="B20" s="424" t="s">
        <v>3133</v>
      </c>
      <c r="C20" s="424" t="str">
        <f t="shared" si="0"/>
        <v>MSM/UMR ALUMNI SCHOLARSHIP</v>
      </c>
      <c r="D20" s="424" t="s">
        <v>3134</v>
      </c>
      <c r="F20" s="636">
        <v>-1100</v>
      </c>
      <c r="G20" s="636">
        <v>322880</v>
      </c>
      <c r="H20" s="636">
        <v>326830</v>
      </c>
      <c r="I20" s="636">
        <f t="shared" si="1"/>
        <v>-5050</v>
      </c>
    </row>
    <row r="21" spans="1:9" ht="12.75" outlineLevel="1">
      <c r="A21" s="424" t="s">
        <v>3135</v>
      </c>
      <c r="B21" s="424" t="s">
        <v>3136</v>
      </c>
      <c r="C21" s="424" t="str">
        <f t="shared" si="0"/>
        <v>AGENCY SCHOLARSHIPS 2004-2005</v>
      </c>
      <c r="D21" s="424" t="s">
        <v>3137</v>
      </c>
      <c r="F21" s="636">
        <v>212</v>
      </c>
      <c r="G21" s="636">
        <v>0</v>
      </c>
      <c r="H21" s="636">
        <v>200</v>
      </c>
      <c r="I21" s="636">
        <f t="shared" si="1"/>
        <v>12</v>
      </c>
    </row>
    <row r="22" spans="1:9" ht="12.75" outlineLevel="1">
      <c r="A22" s="424" t="s">
        <v>3138</v>
      </c>
      <c r="B22" s="424" t="s">
        <v>3139</v>
      </c>
      <c r="C22" s="424" t="str">
        <f t="shared" si="0"/>
        <v>FORD FED DIRECT STU LOAN 04-05</v>
      </c>
      <c r="D22" s="424" t="s">
        <v>3140</v>
      </c>
      <c r="F22" s="636">
        <v>-3940</v>
      </c>
      <c r="G22" s="636">
        <v>268077</v>
      </c>
      <c r="H22" s="636">
        <v>274721</v>
      </c>
      <c r="I22" s="636">
        <f t="shared" si="1"/>
        <v>-10584</v>
      </c>
    </row>
    <row r="23" spans="1:9" ht="12.75" outlineLevel="1">
      <c r="A23" s="424" t="s">
        <v>3141</v>
      </c>
      <c r="B23" s="424" t="s">
        <v>3142</v>
      </c>
      <c r="C23" s="424" t="str">
        <f t="shared" si="0"/>
        <v>PLUS LOANS 2004-2005</v>
      </c>
      <c r="D23" s="424" t="s">
        <v>3143</v>
      </c>
      <c r="F23" s="636">
        <v>12808.91</v>
      </c>
      <c r="G23" s="636">
        <v>1843</v>
      </c>
      <c r="H23" s="636">
        <v>14552</v>
      </c>
      <c r="I23" s="636">
        <f t="shared" si="1"/>
        <v>99.90999999999985</v>
      </c>
    </row>
    <row r="24" spans="1:9" ht="12.75" outlineLevel="1">
      <c r="A24" s="424" t="s">
        <v>3144</v>
      </c>
      <c r="B24" s="424" t="s">
        <v>3145</v>
      </c>
      <c r="C24" s="424" t="str">
        <f t="shared" si="0"/>
        <v>AGENCY SCHOLARSHIPS 2005/2006</v>
      </c>
      <c r="D24" s="424" t="s">
        <v>3146</v>
      </c>
      <c r="F24" s="636">
        <v>0</v>
      </c>
      <c r="G24" s="636">
        <v>1066062.9</v>
      </c>
      <c r="H24" s="636">
        <v>1063343.94</v>
      </c>
      <c r="I24" s="636">
        <f t="shared" si="1"/>
        <v>2718.9599999999627</v>
      </c>
    </row>
    <row r="25" spans="1:9" ht="12.75" outlineLevel="1">
      <c r="A25" s="424" t="s">
        <v>3147</v>
      </c>
      <c r="B25" s="424" t="s">
        <v>3148</v>
      </c>
      <c r="C25" s="424" t="str">
        <f t="shared" si="0"/>
        <v>PLUS LOAN 2005/2006</v>
      </c>
      <c r="D25" s="424" t="s">
        <v>3149</v>
      </c>
      <c r="F25" s="636">
        <v>0</v>
      </c>
      <c r="G25" s="636">
        <v>2492828.22</v>
      </c>
      <c r="H25" s="636">
        <v>2486342</v>
      </c>
      <c r="I25" s="636">
        <f t="shared" si="1"/>
        <v>6486.220000000205</v>
      </c>
    </row>
    <row r="26" spans="1:9" ht="12.75" outlineLevel="1">
      <c r="A26" s="424" t="s">
        <v>3150</v>
      </c>
      <c r="B26" s="424" t="s">
        <v>3151</v>
      </c>
      <c r="C26" s="424" t="str">
        <f t="shared" si="0"/>
        <v>FORD FEDERAL DIRECT FY 05/06</v>
      </c>
      <c r="D26" s="424" t="s">
        <v>3152</v>
      </c>
      <c r="F26" s="636">
        <v>0</v>
      </c>
      <c r="G26" s="636">
        <v>11921383</v>
      </c>
      <c r="H26" s="636">
        <v>11921383</v>
      </c>
      <c r="I26" s="636">
        <f t="shared" si="1"/>
        <v>0</v>
      </c>
    </row>
    <row r="27" spans="1:9" ht="12.75" outlineLevel="1">
      <c r="A27" s="424" t="s">
        <v>3153</v>
      </c>
      <c r="B27" s="424" t="s">
        <v>3154</v>
      </c>
      <c r="C27" s="424" t="str">
        <f t="shared" si="0"/>
        <v>METER KEY DEPOSIT</v>
      </c>
      <c r="D27" s="424" t="s">
        <v>3155</v>
      </c>
      <c r="F27" s="636">
        <v>239.75</v>
      </c>
      <c r="G27" s="636">
        <v>120</v>
      </c>
      <c r="H27" s="636">
        <v>0</v>
      </c>
      <c r="I27" s="636">
        <f t="shared" si="1"/>
        <v>359.75</v>
      </c>
    </row>
    <row r="28" spans="1:9" ht="12.75" outlineLevel="1">
      <c r="A28" s="424" t="s">
        <v>3156</v>
      </c>
      <c r="B28" s="424" t="s">
        <v>3157</v>
      </c>
      <c r="C28" s="424" t="str">
        <f t="shared" si="0"/>
        <v>SCH OF M&amp;M ACADEMY</v>
      </c>
      <c r="D28" s="424" t="s">
        <v>3158</v>
      </c>
      <c r="F28" s="636">
        <v>17523.56</v>
      </c>
      <c r="G28" s="636">
        <v>10625</v>
      </c>
      <c r="H28" s="636">
        <v>7156.07</v>
      </c>
      <c r="I28" s="636">
        <f t="shared" si="1"/>
        <v>20992.49</v>
      </c>
    </row>
    <row r="29" spans="1:9" ht="12.75" outlineLevel="1">
      <c r="A29" s="424" t="s">
        <v>3159</v>
      </c>
      <c r="B29" s="424" t="s">
        <v>3160</v>
      </c>
      <c r="C29" s="424" t="str">
        <f t="shared" si="0"/>
        <v>GEOLOGY &amp; GEOPHYSICS KEY DEPOS</v>
      </c>
      <c r="D29" s="424" t="s">
        <v>3161</v>
      </c>
      <c r="F29" s="636">
        <v>531.58</v>
      </c>
      <c r="G29" s="636">
        <v>0</v>
      </c>
      <c r="H29" s="636">
        <v>40</v>
      </c>
      <c r="I29" s="636">
        <f t="shared" si="1"/>
        <v>491.58000000000004</v>
      </c>
    </row>
    <row r="30" spans="1:9" ht="12.75" outlineLevel="1">
      <c r="A30" s="424" t="s">
        <v>3162</v>
      </c>
      <c r="B30" s="424" t="s">
        <v>3163</v>
      </c>
      <c r="C30" s="424" t="str">
        <f t="shared" si="0"/>
        <v>EIFERT RESEARCH FUNDS-AMER ASS</v>
      </c>
      <c r="D30" s="424" t="s">
        <v>3164</v>
      </c>
      <c r="F30" s="636">
        <v>457.64</v>
      </c>
      <c r="G30" s="636">
        <v>0</v>
      </c>
      <c r="H30" s="636">
        <v>0</v>
      </c>
      <c r="I30" s="636">
        <f t="shared" si="1"/>
        <v>457.64</v>
      </c>
    </row>
    <row r="31" spans="1:9" ht="12.75" outlineLevel="1">
      <c r="A31" s="424" t="s">
        <v>3165</v>
      </c>
      <c r="B31" s="424" t="s">
        <v>3166</v>
      </c>
      <c r="C31" s="424" t="str">
        <f t="shared" si="0"/>
        <v>KEY DEPOSITS-METALLURGY</v>
      </c>
      <c r="D31" s="424" t="s">
        <v>3167</v>
      </c>
      <c r="F31" s="636">
        <v>220.1</v>
      </c>
      <c r="G31" s="636">
        <v>-15</v>
      </c>
      <c r="H31" s="636">
        <v>0</v>
      </c>
      <c r="I31" s="636">
        <f t="shared" si="1"/>
        <v>205.1</v>
      </c>
    </row>
    <row r="32" spans="1:9" ht="12.75" outlineLevel="1">
      <c r="A32" s="424" t="s">
        <v>3168</v>
      </c>
      <c r="B32" s="424" t="s">
        <v>3169</v>
      </c>
      <c r="C32" s="424" t="str">
        <f t="shared" si="0"/>
        <v>AMERICAN NUCLEAR SOCIETY NUCLE</v>
      </c>
      <c r="D32" s="424" t="s">
        <v>3170</v>
      </c>
      <c r="F32" s="636">
        <v>905.46</v>
      </c>
      <c r="G32" s="636">
        <v>0</v>
      </c>
      <c r="H32" s="636">
        <v>905.46</v>
      </c>
      <c r="I32" s="636">
        <f t="shared" si="1"/>
        <v>0</v>
      </c>
    </row>
    <row r="33" spans="1:9" ht="12.75" outlineLevel="1">
      <c r="A33" s="424" t="s">
        <v>3171</v>
      </c>
      <c r="B33" s="424" t="s">
        <v>3172</v>
      </c>
      <c r="C33" s="424" t="str">
        <f t="shared" si="0"/>
        <v>MSE KEY DEPOSIT</v>
      </c>
      <c r="D33" s="424" t="s">
        <v>3173</v>
      </c>
      <c r="F33" s="636">
        <v>1191.71</v>
      </c>
      <c r="G33" s="636">
        <v>380</v>
      </c>
      <c r="H33" s="636">
        <v>0</v>
      </c>
      <c r="I33" s="636">
        <f t="shared" si="1"/>
        <v>1571.71</v>
      </c>
    </row>
    <row r="34" spans="1:9" ht="12.75" outlineLevel="1">
      <c r="A34" s="424" t="s">
        <v>3174</v>
      </c>
      <c r="B34" s="424" t="s">
        <v>3175</v>
      </c>
      <c r="C34" s="424" t="str">
        <f t="shared" si="0"/>
        <v>LASCO GEOLOGICAL SOCIETY</v>
      </c>
      <c r="D34" s="424" t="s">
        <v>3176</v>
      </c>
      <c r="F34" s="636">
        <v>0</v>
      </c>
      <c r="G34" s="636">
        <v>0</v>
      </c>
      <c r="H34" s="636">
        <v>-544.32</v>
      </c>
      <c r="I34" s="636">
        <f t="shared" si="1"/>
        <v>544.32</v>
      </c>
    </row>
    <row r="35" spans="1:9" ht="12.75" outlineLevel="1">
      <c r="A35" s="424" t="s">
        <v>3177</v>
      </c>
      <c r="B35" s="424" t="s">
        <v>3178</v>
      </c>
      <c r="C35" s="424" t="str">
        <f t="shared" si="0"/>
        <v>CIVIL ENGINEERING</v>
      </c>
      <c r="D35" s="424" t="s">
        <v>1251</v>
      </c>
      <c r="F35" s="636">
        <v>0</v>
      </c>
      <c r="G35" s="636">
        <v>0</v>
      </c>
      <c r="H35" s="636">
        <v>1100</v>
      </c>
      <c r="I35" s="636">
        <f t="shared" si="1"/>
        <v>-1100</v>
      </c>
    </row>
    <row r="36" spans="1:9" ht="12.75" outlineLevel="1">
      <c r="A36" s="424" t="s">
        <v>1252</v>
      </c>
      <c r="B36" s="424" t="s">
        <v>1253</v>
      </c>
      <c r="C36" s="424" t="str">
        <f t="shared" si="0"/>
        <v>2005 LTAP ANNUAL MEETING</v>
      </c>
      <c r="D36" s="424" t="s">
        <v>1254</v>
      </c>
      <c r="F36" s="636">
        <v>9937.83</v>
      </c>
      <c r="G36" s="636">
        <v>57835</v>
      </c>
      <c r="H36" s="636">
        <v>62579.16</v>
      </c>
      <c r="I36" s="636">
        <f t="shared" si="1"/>
        <v>5193.669999999998</v>
      </c>
    </row>
    <row r="37" spans="1:9" ht="12.75" outlineLevel="1">
      <c r="A37" s="424" t="s">
        <v>1255</v>
      </c>
      <c r="B37" s="424" t="s">
        <v>1256</v>
      </c>
      <c r="C37" s="424" t="str">
        <f t="shared" si="0"/>
        <v>MINK CONFERNECE MLTRC</v>
      </c>
      <c r="D37" s="424" t="s">
        <v>1257</v>
      </c>
      <c r="F37" s="636">
        <v>0</v>
      </c>
      <c r="G37" s="636">
        <v>4520</v>
      </c>
      <c r="H37" s="636">
        <v>2776.82</v>
      </c>
      <c r="I37" s="636">
        <f t="shared" si="1"/>
        <v>1743.1799999999998</v>
      </c>
    </row>
    <row r="38" spans="1:9" ht="12.75" outlineLevel="1">
      <c r="A38" s="424" t="s">
        <v>1258</v>
      </c>
      <c r="B38" s="424" t="s">
        <v>1259</v>
      </c>
      <c r="C38" s="424" t="str">
        <f t="shared" si="0"/>
        <v>NATIONAL CHI EPSILON FUNDS</v>
      </c>
      <c r="D38" s="424" t="s">
        <v>1260</v>
      </c>
      <c r="F38" s="636">
        <v>0</v>
      </c>
      <c r="G38" s="636">
        <v>2000</v>
      </c>
      <c r="H38" s="636">
        <v>1184.22</v>
      </c>
      <c r="I38" s="636">
        <f t="shared" si="1"/>
        <v>815.78</v>
      </c>
    </row>
    <row r="39" spans="1:9" ht="12.75" outlineLevel="1">
      <c r="A39" s="424" t="s">
        <v>1261</v>
      </c>
      <c r="B39" s="424" t="s">
        <v>1262</v>
      </c>
      <c r="C39" s="424" t="str">
        <f aca="true" t="shared" si="2" ref="C39:C70">UPPER(B39)</f>
        <v>ETA KAPPA NU (HKN) INTERNATION</v>
      </c>
      <c r="D39" s="424" t="s">
        <v>1263</v>
      </c>
      <c r="F39" s="636">
        <v>500</v>
      </c>
      <c r="G39" s="636">
        <v>0</v>
      </c>
      <c r="H39" s="636">
        <v>0</v>
      </c>
      <c r="I39" s="636">
        <f aca="true" t="shared" si="3" ref="I39:I70">(F39+G39-H39)</f>
        <v>500</v>
      </c>
    </row>
    <row r="40" spans="1:9" ht="12.75" outlineLevel="1">
      <c r="A40" s="424" t="s">
        <v>1264</v>
      </c>
      <c r="B40" s="424" t="s">
        <v>1265</v>
      </c>
      <c r="C40" s="424" t="str">
        <f t="shared" si="2"/>
        <v>LAB FEE DEPOSITS - ME &amp; AE &amp; E</v>
      </c>
      <c r="D40" s="424" t="s">
        <v>1266</v>
      </c>
      <c r="F40" s="636">
        <v>4633.42</v>
      </c>
      <c r="G40" s="636">
        <v>3479</v>
      </c>
      <c r="H40" s="636">
        <v>2922.44</v>
      </c>
      <c r="I40" s="636">
        <f t="shared" si="3"/>
        <v>5189.98</v>
      </c>
    </row>
    <row r="41" spans="1:9" ht="12.75" outlineLevel="1">
      <c r="A41" s="424" t="s">
        <v>1267</v>
      </c>
      <c r="B41" s="424" t="s">
        <v>1268</v>
      </c>
      <c r="C41" s="424" t="str">
        <f t="shared" si="2"/>
        <v>ASME SPRING CONFERENCE 2006</v>
      </c>
      <c r="D41" s="424" t="s">
        <v>1269</v>
      </c>
      <c r="F41" s="636">
        <v>0</v>
      </c>
      <c r="G41" s="636">
        <v>4970</v>
      </c>
      <c r="H41" s="636">
        <v>4970</v>
      </c>
      <c r="I41" s="636">
        <f t="shared" si="3"/>
        <v>0</v>
      </c>
    </row>
    <row r="42" spans="1:9" ht="12.75" outlineLevel="1">
      <c r="A42" s="424" t="s">
        <v>1270</v>
      </c>
      <c r="B42" s="424" t="s">
        <v>1271</v>
      </c>
      <c r="C42" s="424" t="str">
        <f t="shared" si="2"/>
        <v>UMR ARMY ROTC STONEHENGE BN AC</v>
      </c>
      <c r="D42" s="424" t="s">
        <v>1272</v>
      </c>
      <c r="F42" s="636">
        <v>100</v>
      </c>
      <c r="G42" s="636">
        <v>0</v>
      </c>
      <c r="H42" s="636">
        <v>0</v>
      </c>
      <c r="I42" s="636">
        <f t="shared" si="3"/>
        <v>100</v>
      </c>
    </row>
    <row r="43" spans="1:9" ht="12.75" outlineLevel="1">
      <c r="A43" s="424" t="s">
        <v>1273</v>
      </c>
      <c r="B43" s="424" t="s">
        <v>1274</v>
      </c>
      <c r="C43" s="424" t="str">
        <f t="shared" si="2"/>
        <v>2005 MABHE CONFERENCE</v>
      </c>
      <c r="D43" s="424" t="s">
        <v>1275</v>
      </c>
      <c r="F43" s="636">
        <v>-491.28</v>
      </c>
      <c r="G43" s="636">
        <v>563.29</v>
      </c>
      <c r="H43" s="636">
        <v>0</v>
      </c>
      <c r="I43" s="636">
        <f t="shared" si="3"/>
        <v>72.00999999999999</v>
      </c>
    </row>
    <row r="44" spans="1:9" ht="12.75" outlineLevel="1">
      <c r="A44" s="424" t="s">
        <v>1276</v>
      </c>
      <c r="B44" s="424" t="s">
        <v>1277</v>
      </c>
      <c r="C44" s="424" t="str">
        <f t="shared" si="2"/>
        <v>APPLIED LANGUAGE INSTITUTE AGE</v>
      </c>
      <c r="D44" s="424" t="s">
        <v>1278</v>
      </c>
      <c r="F44" s="636">
        <v>-395</v>
      </c>
      <c r="G44" s="636">
        <v>0</v>
      </c>
      <c r="H44" s="636">
        <v>0</v>
      </c>
      <c r="I44" s="636">
        <f t="shared" si="3"/>
        <v>-395</v>
      </c>
    </row>
    <row r="45" spans="1:9" ht="12.75" outlineLevel="1">
      <c r="A45" s="424" t="s">
        <v>1279</v>
      </c>
      <c r="B45" s="424" t="s">
        <v>1280</v>
      </c>
      <c r="C45" s="424" t="str">
        <f t="shared" si="2"/>
        <v>MISCELLANEOUS STUDENT FEES</v>
      </c>
      <c r="D45" s="424" t="s">
        <v>1281</v>
      </c>
      <c r="F45" s="636">
        <v>786.76</v>
      </c>
      <c r="G45" s="636">
        <v>7.32</v>
      </c>
      <c r="H45" s="636">
        <v>-558.75</v>
      </c>
      <c r="I45" s="636">
        <f t="shared" si="3"/>
        <v>1352.83</v>
      </c>
    </row>
    <row r="46" spans="1:9" ht="12.75" outlineLevel="1">
      <c r="A46" s="424" t="s">
        <v>1282</v>
      </c>
      <c r="B46" s="424" t="s">
        <v>1283</v>
      </c>
      <c r="C46" s="424" t="str">
        <f t="shared" si="2"/>
        <v>PINK LADY FUN RUN WALK</v>
      </c>
      <c r="D46" s="424" t="s">
        <v>1284</v>
      </c>
      <c r="F46" s="636">
        <v>1424.15</v>
      </c>
      <c r="G46" s="636">
        <v>6307.76</v>
      </c>
      <c r="H46" s="636">
        <v>6896.16</v>
      </c>
      <c r="I46" s="636">
        <f t="shared" si="3"/>
        <v>835.75</v>
      </c>
    </row>
    <row r="47" spans="1:9" ht="12.75" outlineLevel="1">
      <c r="A47" s="424" t="s">
        <v>1285</v>
      </c>
      <c r="B47" s="424" t="s">
        <v>1286</v>
      </c>
      <c r="C47" s="424" t="str">
        <f t="shared" si="2"/>
        <v>HOUSING DEPOSITS</v>
      </c>
      <c r="D47" s="424" t="s">
        <v>1287</v>
      </c>
      <c r="F47" s="636">
        <v>40</v>
      </c>
      <c r="G47" s="636">
        <v>40</v>
      </c>
      <c r="H47" s="636">
        <v>0</v>
      </c>
      <c r="I47" s="636">
        <f t="shared" si="3"/>
        <v>80</v>
      </c>
    </row>
    <row r="48" spans="1:9" ht="12.75" outlineLevel="1">
      <c r="A48" s="424" t="s">
        <v>1288</v>
      </c>
      <c r="B48" s="424" t="s">
        <v>1289</v>
      </c>
      <c r="C48" s="424" t="str">
        <f t="shared" si="2"/>
        <v>APARTMENT DEPOSITS</v>
      </c>
      <c r="D48" s="424" t="s">
        <v>1290</v>
      </c>
      <c r="F48" s="636">
        <v>4200</v>
      </c>
      <c r="G48" s="636">
        <v>1000</v>
      </c>
      <c r="H48" s="636">
        <v>0</v>
      </c>
      <c r="I48" s="636">
        <f t="shared" si="3"/>
        <v>5200</v>
      </c>
    </row>
    <row r="49" spans="1:9" ht="12.75" outlineLevel="1">
      <c r="A49" s="424" t="s">
        <v>1291</v>
      </c>
      <c r="B49" s="424" t="s">
        <v>1292</v>
      </c>
      <c r="C49" s="424" t="str">
        <f t="shared" si="2"/>
        <v>PROG ALLOTMENT</v>
      </c>
      <c r="D49" s="424" t="s">
        <v>1293</v>
      </c>
      <c r="F49" s="636">
        <v>0</v>
      </c>
      <c r="G49" s="636">
        <v>470.37</v>
      </c>
      <c r="H49" s="636">
        <v>0</v>
      </c>
      <c r="I49" s="636">
        <f t="shared" si="3"/>
        <v>470.37</v>
      </c>
    </row>
    <row r="50" spans="1:9" ht="12.75" outlineLevel="1">
      <c r="A50" s="424" t="s">
        <v>1294</v>
      </c>
      <c r="B50" s="424" t="s">
        <v>1295</v>
      </c>
      <c r="C50" s="424" t="str">
        <f t="shared" si="2"/>
        <v>RESIDENTIAL COLLEGE ASSOCIATIO</v>
      </c>
      <c r="D50" s="424" t="s">
        <v>1296</v>
      </c>
      <c r="F50" s="636">
        <v>3794.9</v>
      </c>
      <c r="G50" s="636">
        <v>2934.5</v>
      </c>
      <c r="H50" s="636">
        <v>3031.6</v>
      </c>
      <c r="I50" s="636">
        <f t="shared" si="3"/>
        <v>3697.7999999999997</v>
      </c>
    </row>
    <row r="51" spans="1:9" ht="12.75" outlineLevel="1">
      <c r="A51" s="424" t="s">
        <v>1297</v>
      </c>
      <c r="B51" s="424" t="s">
        <v>1298</v>
      </c>
      <c r="C51" s="424" t="str">
        <f t="shared" si="2"/>
        <v>QUAD RES HALL STUDENT PROGRAM</v>
      </c>
      <c r="D51" s="424" t="s">
        <v>1299</v>
      </c>
      <c r="F51" s="636">
        <v>0</v>
      </c>
      <c r="G51" s="636">
        <v>3988.79</v>
      </c>
      <c r="H51" s="636">
        <v>3113.88</v>
      </c>
      <c r="I51" s="636">
        <f t="shared" si="3"/>
        <v>874.9099999999999</v>
      </c>
    </row>
    <row r="52" spans="1:9" ht="12.75" outlineLevel="1">
      <c r="A52" s="424" t="s">
        <v>1300</v>
      </c>
      <c r="B52" s="424" t="s">
        <v>1301</v>
      </c>
      <c r="C52" s="424" t="str">
        <f t="shared" si="2"/>
        <v>TJ HALL STUDENT PROGRAMMING</v>
      </c>
      <c r="D52" s="424" t="s">
        <v>1302</v>
      </c>
      <c r="F52" s="636">
        <v>0</v>
      </c>
      <c r="G52" s="636">
        <v>12633.62</v>
      </c>
      <c r="H52" s="636">
        <v>12502.79</v>
      </c>
      <c r="I52" s="636">
        <f t="shared" si="3"/>
        <v>130.82999999999993</v>
      </c>
    </row>
    <row r="53" spans="1:9" ht="12.75" outlineLevel="1">
      <c r="A53" s="424" t="s">
        <v>1303</v>
      </c>
      <c r="B53" s="424" t="s">
        <v>1304</v>
      </c>
      <c r="C53" s="424" t="str">
        <f t="shared" si="2"/>
        <v>RES HALL ASSN - PROGRAMMING</v>
      </c>
      <c r="D53" s="424" t="s">
        <v>1305</v>
      </c>
      <c r="F53" s="636">
        <v>0</v>
      </c>
      <c r="G53" s="636">
        <v>41814.98</v>
      </c>
      <c r="H53" s="636">
        <v>38292.69</v>
      </c>
      <c r="I53" s="636">
        <f t="shared" si="3"/>
        <v>3522.290000000001</v>
      </c>
    </row>
    <row r="54" spans="1:9" ht="12.75" outlineLevel="1">
      <c r="A54" s="424" t="s">
        <v>1306</v>
      </c>
      <c r="B54" s="424" t="s">
        <v>1307</v>
      </c>
      <c r="C54" s="424" t="str">
        <f t="shared" si="2"/>
        <v>TICKETS ON CONSIGNMENT</v>
      </c>
      <c r="D54" s="424" t="s">
        <v>1308</v>
      </c>
      <c r="F54" s="636">
        <v>32.83</v>
      </c>
      <c r="G54" s="636">
        <v>0</v>
      </c>
      <c r="H54" s="636">
        <v>0</v>
      </c>
      <c r="I54" s="636">
        <f t="shared" si="3"/>
        <v>32.83</v>
      </c>
    </row>
    <row r="55" spans="1:9" ht="12.75" outlineLevel="1">
      <c r="A55" s="424" t="s">
        <v>1309</v>
      </c>
      <c r="B55" s="424" t="s">
        <v>1310</v>
      </c>
      <c r="C55" s="424" t="str">
        <f t="shared" si="2"/>
        <v>NATIONAL RES HALL HONORARY</v>
      </c>
      <c r="D55" s="424" t="s">
        <v>1311</v>
      </c>
      <c r="F55" s="636">
        <v>19532.34</v>
      </c>
      <c r="G55" s="636">
        <v>4988.25</v>
      </c>
      <c r="H55" s="636">
        <v>8690.72</v>
      </c>
      <c r="I55" s="636">
        <f t="shared" si="3"/>
        <v>15829.87</v>
      </c>
    </row>
    <row r="56" spans="1:9" ht="12.75" outlineLevel="1">
      <c r="A56" s="424" t="s">
        <v>1312</v>
      </c>
      <c r="B56" s="424" t="s">
        <v>1313</v>
      </c>
      <c r="C56" s="424" t="str">
        <f t="shared" si="2"/>
        <v>RESLIFE APPLICATION FEES</v>
      </c>
      <c r="D56" s="424" t="s">
        <v>1314</v>
      </c>
      <c r="F56" s="636">
        <v>130400</v>
      </c>
      <c r="G56" s="636">
        <v>3266</v>
      </c>
      <c r="H56" s="636">
        <v>0</v>
      </c>
      <c r="I56" s="636">
        <f t="shared" si="3"/>
        <v>133666</v>
      </c>
    </row>
    <row r="57" spans="1:9" ht="12.75" outlineLevel="1">
      <c r="A57" s="424" t="s">
        <v>1315</v>
      </c>
      <c r="B57" s="424" t="s">
        <v>1316</v>
      </c>
      <c r="C57" s="424" t="str">
        <f t="shared" si="2"/>
        <v>FACULTY-STAFF GOLF LEAGUE</v>
      </c>
      <c r="D57" s="424" t="s">
        <v>1317</v>
      </c>
      <c r="F57" s="636">
        <v>691.04</v>
      </c>
      <c r="G57" s="636">
        <v>1819.82</v>
      </c>
      <c r="H57" s="636">
        <v>2466.53</v>
      </c>
      <c r="I57" s="636">
        <f t="shared" si="3"/>
        <v>44.32999999999947</v>
      </c>
    </row>
    <row r="58" spans="1:9" ht="12.75" outlineLevel="1">
      <c r="A58" s="424" t="s">
        <v>1318</v>
      </c>
      <c r="B58" s="424" t="s">
        <v>1319</v>
      </c>
      <c r="C58" s="424" t="str">
        <f t="shared" si="2"/>
        <v>INTRAMURAL MANAGERS ACCT</v>
      </c>
      <c r="D58" s="424" t="s">
        <v>1320</v>
      </c>
      <c r="F58" s="636">
        <v>0</v>
      </c>
      <c r="G58" s="636">
        <v>1405</v>
      </c>
      <c r="H58" s="636">
        <v>1405</v>
      </c>
      <c r="I58" s="636">
        <f t="shared" si="3"/>
        <v>0</v>
      </c>
    </row>
    <row r="59" spans="1:9" ht="12.75" outlineLevel="1">
      <c r="A59" s="424" t="s">
        <v>1321</v>
      </c>
      <c r="B59" s="424" t="s">
        <v>1322</v>
      </c>
      <c r="C59" s="424" t="str">
        <f t="shared" si="2"/>
        <v>ALUMNI ASSOCIATION TRANSFERS</v>
      </c>
      <c r="D59" s="424" t="s">
        <v>1323</v>
      </c>
      <c r="F59" s="636">
        <v>58056.19</v>
      </c>
      <c r="G59" s="636">
        <v>-49642.33</v>
      </c>
      <c r="H59" s="636">
        <v>-200</v>
      </c>
      <c r="I59" s="636">
        <f t="shared" si="3"/>
        <v>8613.86</v>
      </c>
    </row>
    <row r="60" spans="1:9" ht="12.75" outlineLevel="1">
      <c r="A60" s="424" t="s">
        <v>1324</v>
      </c>
      <c r="B60" s="424" t="s">
        <v>1325</v>
      </c>
      <c r="C60" s="424" t="str">
        <f t="shared" si="2"/>
        <v>YEAR END SUMMER - PCS 81 SCHOL</v>
      </c>
      <c r="D60" s="424" t="s">
        <v>1326</v>
      </c>
      <c r="F60" s="636">
        <v>0</v>
      </c>
      <c r="G60" s="636">
        <v>0</v>
      </c>
      <c r="H60" s="636">
        <v>1625</v>
      </c>
      <c r="I60" s="636">
        <f t="shared" si="3"/>
        <v>-1625</v>
      </c>
    </row>
    <row r="61" spans="1:9" ht="12.75" outlineLevel="1">
      <c r="A61" s="424" t="s">
        <v>1327</v>
      </c>
      <c r="B61" s="424" t="s">
        <v>1328</v>
      </c>
      <c r="C61" s="424" t="str">
        <f t="shared" si="2"/>
        <v>YEAR END SUMMER - PCS LOAN</v>
      </c>
      <c r="D61" s="424" t="s">
        <v>1329</v>
      </c>
      <c r="F61" s="636">
        <v>-65513</v>
      </c>
      <c r="G61" s="636">
        <v>0</v>
      </c>
      <c r="H61" s="636">
        <v>71906</v>
      </c>
      <c r="I61" s="636">
        <f t="shared" si="3"/>
        <v>-137419</v>
      </c>
    </row>
    <row r="62" spans="1:9" ht="12.75" outlineLevel="1">
      <c r="A62" s="424" t="s">
        <v>1330</v>
      </c>
      <c r="B62" s="424" t="s">
        <v>1331</v>
      </c>
      <c r="C62" s="424" t="str">
        <f t="shared" si="2"/>
        <v>YEAR-END SUMMER - PCS AGENCY</v>
      </c>
      <c r="D62" s="424" t="s">
        <v>1332</v>
      </c>
      <c r="F62" s="636">
        <v>4340.6</v>
      </c>
      <c r="G62" s="636">
        <v>2848.54</v>
      </c>
      <c r="H62" s="636">
        <v>-100</v>
      </c>
      <c r="I62" s="636">
        <f t="shared" si="3"/>
        <v>7289.14</v>
      </c>
    </row>
    <row r="63" spans="1:9" ht="12.75" outlineLevel="1">
      <c r="A63" s="424" t="s">
        <v>1333</v>
      </c>
      <c r="B63" s="424" t="s">
        <v>1334</v>
      </c>
      <c r="C63" s="424" t="str">
        <f t="shared" si="2"/>
        <v>THOMAS JAMES STEWART FUND</v>
      </c>
      <c r="D63" s="424" t="s">
        <v>1335</v>
      </c>
      <c r="F63" s="636">
        <v>80355.3</v>
      </c>
      <c r="G63" s="636">
        <v>9776.43</v>
      </c>
      <c r="H63" s="636">
        <v>6257.3</v>
      </c>
      <c r="I63" s="636">
        <f t="shared" si="3"/>
        <v>83874.43000000001</v>
      </c>
    </row>
    <row r="64" spans="1:9" ht="12.75" outlineLevel="1">
      <c r="A64" s="424" t="s">
        <v>1336</v>
      </c>
      <c r="B64" s="424" t="s">
        <v>1337</v>
      </c>
      <c r="C64" s="424" t="str">
        <f t="shared" si="2"/>
        <v>GEORGE ANDERSON UNITRUST</v>
      </c>
      <c r="D64" s="424" t="s">
        <v>1338</v>
      </c>
      <c r="F64" s="636">
        <v>27421.5</v>
      </c>
      <c r="G64" s="636">
        <v>1476.52</v>
      </c>
      <c r="H64" s="636">
        <v>1439.02</v>
      </c>
      <c r="I64" s="636">
        <f t="shared" si="3"/>
        <v>27459</v>
      </c>
    </row>
    <row r="65" spans="1:9" ht="12.75" outlineLevel="1">
      <c r="A65" s="424" t="s">
        <v>1339</v>
      </c>
      <c r="B65" s="424" t="s">
        <v>1340</v>
      </c>
      <c r="C65" s="424" t="str">
        <f t="shared" si="2"/>
        <v>T JAMES STEWART JR AGENCY</v>
      </c>
      <c r="D65" s="424" t="s">
        <v>1341</v>
      </c>
      <c r="F65" s="636">
        <v>95008.26</v>
      </c>
      <c r="G65" s="636">
        <v>5787.61</v>
      </c>
      <c r="H65" s="636">
        <v>6781.98</v>
      </c>
      <c r="I65" s="636">
        <f t="shared" si="3"/>
        <v>94013.89</v>
      </c>
    </row>
    <row r="66" spans="1:9" ht="12.75" outlineLevel="1">
      <c r="A66" s="424" t="s">
        <v>1342</v>
      </c>
      <c r="B66" s="424" t="s">
        <v>1343</v>
      </c>
      <c r="C66" s="424" t="str">
        <f t="shared" si="2"/>
        <v>WAGE EARNINGS ATTACHMENTS</v>
      </c>
      <c r="D66" s="424" t="s">
        <v>1344</v>
      </c>
      <c r="F66" s="636">
        <v>-161.54</v>
      </c>
      <c r="G66" s="636">
        <v>0</v>
      </c>
      <c r="H66" s="636">
        <v>0</v>
      </c>
      <c r="I66" s="636">
        <f t="shared" si="3"/>
        <v>-161.54</v>
      </c>
    </row>
    <row r="67" spans="1:9" ht="12.75" outlineLevel="1">
      <c r="A67" s="424" t="s">
        <v>1345</v>
      </c>
      <c r="B67" s="424" t="s">
        <v>1346</v>
      </c>
      <c r="C67" s="424" t="str">
        <f t="shared" si="2"/>
        <v>KEY DEPOSITS</v>
      </c>
      <c r="D67" s="424" t="s">
        <v>1347</v>
      </c>
      <c r="F67" s="636">
        <v>1112.57</v>
      </c>
      <c r="G67" s="636">
        <v>0</v>
      </c>
      <c r="H67" s="636">
        <v>0</v>
      </c>
      <c r="I67" s="636">
        <f t="shared" si="3"/>
        <v>1112.57</v>
      </c>
    </row>
    <row r="68" spans="1:9" ht="12.75" outlineLevel="1">
      <c r="A68" s="424" t="s">
        <v>1348</v>
      </c>
      <c r="B68" s="424" t="s">
        <v>1349</v>
      </c>
      <c r="C68" s="424" t="str">
        <f t="shared" si="2"/>
        <v>CENTURY CLUB - MSM ALUMNI</v>
      </c>
      <c r="D68" s="424" t="s">
        <v>1350</v>
      </c>
      <c r="F68" s="636">
        <v>3231.24</v>
      </c>
      <c r="G68" s="636">
        <v>4572.7</v>
      </c>
      <c r="H68" s="636">
        <v>7803.94</v>
      </c>
      <c r="I68" s="636">
        <f t="shared" si="3"/>
        <v>0</v>
      </c>
    </row>
    <row r="69" spans="1:9" ht="12.75" outlineLevel="1">
      <c r="A69" s="424" t="s">
        <v>1351</v>
      </c>
      <c r="B69" s="424" t="s">
        <v>1352</v>
      </c>
      <c r="C69" s="424" t="str">
        <f t="shared" si="2"/>
        <v>STUDENT CHARGE SYSTEM - BOOKST</v>
      </c>
      <c r="D69" s="424" t="s">
        <v>1353</v>
      </c>
      <c r="F69" s="636">
        <v>1870.54</v>
      </c>
      <c r="G69" s="636">
        <v>0</v>
      </c>
      <c r="H69" s="636">
        <v>0</v>
      </c>
      <c r="I69" s="636">
        <f t="shared" si="3"/>
        <v>1870.54</v>
      </c>
    </row>
    <row r="70" spans="1:9" ht="12.75" outlineLevel="1">
      <c r="A70" s="424" t="s">
        <v>1354</v>
      </c>
      <c r="B70" s="424" t="s">
        <v>1355</v>
      </c>
      <c r="C70" s="424" t="str">
        <f t="shared" si="2"/>
        <v>STUDENT CHARGE SYSTEM - FOOD S</v>
      </c>
      <c r="D70" s="424" t="s">
        <v>1356</v>
      </c>
      <c r="F70" s="636">
        <v>42229.26</v>
      </c>
      <c r="G70" s="636">
        <v>-5912.03</v>
      </c>
      <c r="H70" s="636">
        <v>0</v>
      </c>
      <c r="I70" s="636">
        <f t="shared" si="3"/>
        <v>36317.23</v>
      </c>
    </row>
    <row r="71" spans="1:9" ht="12.75" outlineLevel="1">
      <c r="A71" s="424" t="s">
        <v>1357</v>
      </c>
      <c r="B71" s="424" t="s">
        <v>1358</v>
      </c>
      <c r="C71" s="424" t="str">
        <f>UPPER(B71)</f>
        <v>CUR FUND TRS PCS 63</v>
      </c>
      <c r="D71" s="424" t="s">
        <v>1359</v>
      </c>
      <c r="F71" s="636">
        <v>-47463.01</v>
      </c>
      <c r="G71" s="636">
        <v>0</v>
      </c>
      <c r="H71" s="636">
        <v>0</v>
      </c>
      <c r="I71" s="636">
        <f>(F71+G71-H71)</f>
        <v>-47463.01</v>
      </c>
    </row>
    <row r="72" spans="1:9" ht="12.75" outlineLevel="1">
      <c r="A72" s="424" t="s">
        <v>1360</v>
      </c>
      <c r="B72" s="424" t="s">
        <v>1361</v>
      </c>
      <c r="C72" s="424" t="str">
        <f>UPPER(B72)</f>
        <v>BYRD INDIANA STATE SCHOLARSHIP</v>
      </c>
      <c r="D72" s="424" t="s">
        <v>1362</v>
      </c>
      <c r="F72" s="636">
        <v>-1500</v>
      </c>
      <c r="G72" s="636">
        <v>0</v>
      </c>
      <c r="H72" s="636">
        <v>0</v>
      </c>
      <c r="I72" s="636">
        <f>(F72+G72-H72)</f>
        <v>-1500</v>
      </c>
    </row>
    <row r="73" spans="1:9" s="462" customFormat="1" ht="12.75">
      <c r="A73" s="462" t="s">
        <v>1363</v>
      </c>
      <c r="B73" s="462" t="s">
        <v>1364</v>
      </c>
      <c r="C73" s="462" t="str">
        <f>UPPER(B73)</f>
        <v>TOTAL AGENCY FUNDS</v>
      </c>
      <c r="F73" s="467">
        <v>390909.86</v>
      </c>
      <c r="G73" s="467">
        <v>18736077.310000002</v>
      </c>
      <c r="H73" s="467">
        <v>18869796.650000002</v>
      </c>
      <c r="I73" s="467">
        <f>(F73+G73-H73)</f>
        <v>257190.51999999955</v>
      </c>
    </row>
  </sheetData>
  <printOptions horizontalCentered="1"/>
  <pageMargins left="0.5" right="0.5" top="0.75" bottom="0.5" header="0.5" footer="0.5"/>
  <pageSetup horizontalDpi="600" verticalDpi="600" orientation="landscape" scale="75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1">
      <selection activeCell="B34" sqref="B34"/>
    </sheetView>
  </sheetViews>
  <sheetFormatPr defaultColWidth="9.140625" defaultRowHeight="12.75"/>
  <cols>
    <col min="1" max="1" width="2.7109375" style="1" customWidth="1"/>
    <col min="2" max="2" width="72.7109375" style="1" customWidth="1"/>
    <col min="3" max="3" width="14.7109375" style="1" customWidth="1"/>
    <col min="4" max="4" width="3.7109375" style="1" hidden="1" customWidth="1"/>
    <col min="5" max="5" width="14.7109375" style="56" customWidth="1"/>
    <col min="6" max="16384" width="8.00390625" style="56" customWidth="1"/>
  </cols>
  <sheetData>
    <row r="1" spans="1:5" s="53" customFormat="1" ht="15.75">
      <c r="A1" s="49" t="s">
        <v>2795</v>
      </c>
      <c r="B1" s="6"/>
      <c r="C1" s="50"/>
      <c r="D1" s="51"/>
      <c r="E1" s="52"/>
    </row>
    <row r="2" spans="1:5" ht="15.75">
      <c r="A2" s="54" t="s">
        <v>2681</v>
      </c>
      <c r="B2" s="12"/>
      <c r="C2" s="51"/>
      <c r="D2" s="51"/>
      <c r="E2" s="55"/>
    </row>
    <row r="3" spans="1:5" s="53" customFormat="1" ht="15.75">
      <c r="A3" s="54" t="s">
        <v>2778</v>
      </c>
      <c r="B3" s="12"/>
      <c r="C3" s="51"/>
      <c r="D3" s="51"/>
      <c r="E3" s="57"/>
    </row>
    <row r="4" spans="1:5" ht="12.75" customHeight="1">
      <c r="A4" s="17" t="s">
        <v>2796</v>
      </c>
      <c r="B4" s="18"/>
      <c r="C4" s="58"/>
      <c r="D4" s="51"/>
      <c r="E4" s="59"/>
    </row>
    <row r="5" spans="1:5" ht="15.75" customHeight="1">
      <c r="A5" s="60"/>
      <c r="B5" s="61"/>
      <c r="C5" s="62">
        <v>2006</v>
      </c>
      <c r="D5" s="63"/>
      <c r="E5" s="62">
        <v>2005</v>
      </c>
    </row>
    <row r="6" spans="1:5" ht="12.75" customHeight="1">
      <c r="A6" s="64" t="s">
        <v>2828</v>
      </c>
      <c r="B6" s="65"/>
      <c r="C6" s="66"/>
      <c r="D6" s="67"/>
      <c r="E6" s="68"/>
    </row>
    <row r="7" spans="1:5" s="70" customFormat="1" ht="12.75" customHeight="1">
      <c r="A7" s="30"/>
      <c r="B7" s="31" t="s">
        <v>2777</v>
      </c>
      <c r="C7" s="34">
        <v>51696</v>
      </c>
      <c r="D7" s="69"/>
      <c r="E7" s="34">
        <v>48084</v>
      </c>
    </row>
    <row r="8" spans="1:5" s="70" customFormat="1" ht="12.75" customHeight="1">
      <c r="A8" s="30"/>
      <c r="B8" s="31" t="s">
        <v>2785</v>
      </c>
      <c r="C8" s="36">
        <v>17025</v>
      </c>
      <c r="D8" s="42"/>
      <c r="E8" s="36">
        <v>17217</v>
      </c>
    </row>
    <row r="9" spans="1:5" s="72" customFormat="1" ht="12.75" customHeight="1">
      <c r="A9" s="23"/>
      <c r="B9" s="24" t="s">
        <v>2829</v>
      </c>
      <c r="C9" s="39">
        <f>C7-C8</f>
        <v>34671</v>
      </c>
      <c r="D9" s="71"/>
      <c r="E9" s="39">
        <f>E7-E8</f>
        <v>30867</v>
      </c>
    </row>
    <row r="10" spans="1:5" s="73" customFormat="1" ht="12.75" customHeight="1">
      <c r="A10" s="30"/>
      <c r="B10" s="31" t="s">
        <v>2830</v>
      </c>
      <c r="C10" s="36">
        <v>26298</v>
      </c>
      <c r="D10" s="42"/>
      <c r="E10" s="36">
        <v>23392</v>
      </c>
    </row>
    <row r="11" spans="1:5" s="73" customFormat="1" ht="12.75" customHeight="1">
      <c r="A11" s="30"/>
      <c r="B11" s="31" t="s">
        <v>2831</v>
      </c>
      <c r="C11" s="36">
        <v>2836</v>
      </c>
      <c r="D11" s="42"/>
      <c r="E11" s="36">
        <v>1595</v>
      </c>
    </row>
    <row r="12" spans="1:5" s="73" customFormat="1" ht="12.75" customHeight="1">
      <c r="A12" s="30"/>
      <c r="B12" s="31" t="s">
        <v>2832</v>
      </c>
      <c r="C12" s="36">
        <v>7540</v>
      </c>
      <c r="D12" s="42"/>
      <c r="E12" s="36">
        <v>8378</v>
      </c>
    </row>
    <row r="13" spans="1:5" s="73" customFormat="1" ht="12.75" customHeight="1">
      <c r="A13" s="30"/>
      <c r="B13" s="31" t="s">
        <v>2833</v>
      </c>
      <c r="C13" s="36">
        <v>361</v>
      </c>
      <c r="D13" s="42"/>
      <c r="E13" s="36">
        <v>487</v>
      </c>
    </row>
    <row r="14" spans="1:5" s="73" customFormat="1" ht="12.75" customHeight="1">
      <c r="A14" s="30"/>
      <c r="B14" s="31" t="s">
        <v>2834</v>
      </c>
      <c r="C14" s="36"/>
      <c r="D14" s="42"/>
      <c r="E14" s="36"/>
    </row>
    <row r="15" spans="1:5" s="73" customFormat="1" ht="12.75" customHeight="1">
      <c r="A15" s="30"/>
      <c r="B15" s="31" t="s">
        <v>2912</v>
      </c>
      <c r="C15" s="36">
        <v>7692</v>
      </c>
      <c r="D15" s="42"/>
      <c r="E15" s="36">
        <v>6781</v>
      </c>
    </row>
    <row r="16" spans="1:5" s="73" customFormat="1" ht="12.75" customHeight="1">
      <c r="A16" s="30"/>
      <c r="B16" s="31" t="s">
        <v>2913</v>
      </c>
      <c r="C16" s="36">
        <v>0</v>
      </c>
      <c r="D16" s="42"/>
      <c r="E16" s="36">
        <v>0</v>
      </c>
    </row>
    <row r="17" spans="1:5" s="73" customFormat="1" ht="12.75" customHeight="1">
      <c r="A17" s="30"/>
      <c r="B17" s="31" t="s">
        <v>2914</v>
      </c>
      <c r="C17" s="36">
        <v>2757</v>
      </c>
      <c r="D17" s="42"/>
      <c r="E17" s="36">
        <v>2616</v>
      </c>
    </row>
    <row r="18" spans="1:5" s="73" customFormat="1" ht="12.75" customHeight="1">
      <c r="A18" s="30"/>
      <c r="B18" s="31" t="s">
        <v>2835</v>
      </c>
      <c r="C18" s="36">
        <v>-540</v>
      </c>
      <c r="D18" s="42"/>
      <c r="E18" s="36">
        <v>160</v>
      </c>
    </row>
    <row r="19" spans="1:5" s="73" customFormat="1" ht="12.75" customHeight="1">
      <c r="A19" s="30"/>
      <c r="B19" s="31" t="s">
        <v>2836</v>
      </c>
      <c r="C19" s="36">
        <v>2194</v>
      </c>
      <c r="D19" s="42"/>
      <c r="E19" s="36">
        <v>2006</v>
      </c>
    </row>
    <row r="20" spans="1:5" s="73" customFormat="1" ht="12.75" customHeight="1">
      <c r="A20" s="23"/>
      <c r="B20" s="65" t="s">
        <v>2909</v>
      </c>
      <c r="C20" s="39">
        <f>SUM(C9:C19)</f>
        <v>83809</v>
      </c>
      <c r="D20" s="71"/>
      <c r="E20" s="39">
        <f>SUM(E9:E19)</f>
        <v>76282</v>
      </c>
    </row>
    <row r="21" spans="1:5" ht="12.75" customHeight="1">
      <c r="A21" s="64"/>
      <c r="B21" s="65"/>
      <c r="C21" s="36"/>
      <c r="D21" s="42"/>
      <c r="E21" s="36"/>
    </row>
    <row r="22" spans="1:5" s="73" customFormat="1" ht="12.75" customHeight="1">
      <c r="A22" s="23" t="s">
        <v>2837</v>
      </c>
      <c r="B22" s="24"/>
      <c r="C22" s="36"/>
      <c r="D22" s="42"/>
      <c r="E22" s="36"/>
    </row>
    <row r="23" spans="1:5" s="73" customFormat="1" ht="12.75" customHeight="1">
      <c r="A23" s="30"/>
      <c r="B23" s="31" t="s">
        <v>2786</v>
      </c>
      <c r="C23" s="36">
        <v>73845</v>
      </c>
      <c r="D23" s="42"/>
      <c r="E23" s="36">
        <v>72135</v>
      </c>
    </row>
    <row r="24" spans="1:5" s="73" customFormat="1" ht="12.75" customHeight="1">
      <c r="A24" s="30"/>
      <c r="B24" s="31" t="s">
        <v>2838</v>
      </c>
      <c r="C24" s="36">
        <v>17005</v>
      </c>
      <c r="D24" s="42"/>
      <c r="E24" s="36">
        <v>15401</v>
      </c>
    </row>
    <row r="25" spans="1:5" s="73" customFormat="1" ht="12.75" customHeight="1">
      <c r="A25" s="30"/>
      <c r="B25" s="31" t="s">
        <v>2839</v>
      </c>
      <c r="C25" s="36">
        <v>32718</v>
      </c>
      <c r="D25" s="42"/>
      <c r="E25" s="36">
        <v>30315</v>
      </c>
    </row>
    <row r="26" spans="1:5" s="73" customFormat="1" ht="12.75" customHeight="1">
      <c r="A26" s="30"/>
      <c r="B26" s="31" t="s">
        <v>2840</v>
      </c>
      <c r="C26" s="36">
        <v>4741</v>
      </c>
      <c r="D26" s="42"/>
      <c r="E26" s="36">
        <v>3330</v>
      </c>
    </row>
    <row r="27" spans="1:5" s="73" customFormat="1" ht="12.75" customHeight="1">
      <c r="A27" s="30"/>
      <c r="B27" s="31" t="s">
        <v>2772</v>
      </c>
      <c r="C27" s="36">
        <v>8215</v>
      </c>
      <c r="D27" s="42"/>
      <c r="E27" s="36">
        <v>6982</v>
      </c>
    </row>
    <row r="28" spans="1:5" s="73" customFormat="1" ht="12.75" customHeight="1">
      <c r="A28" s="23"/>
      <c r="B28" s="65" t="s">
        <v>2910</v>
      </c>
      <c r="C28" s="39">
        <f>SUM(C23:C27)</f>
        <v>136524</v>
      </c>
      <c r="D28" s="71"/>
      <c r="E28" s="39">
        <f>SUM(E23:E27)</f>
        <v>128163</v>
      </c>
    </row>
    <row r="29" spans="1:5" ht="12.75" customHeight="1">
      <c r="A29" s="64"/>
      <c r="B29" s="65"/>
      <c r="C29" s="36"/>
      <c r="D29" s="42"/>
      <c r="E29" s="36"/>
    </row>
    <row r="30" spans="1:5" s="73" customFormat="1" ht="12.75" customHeight="1">
      <c r="A30" s="23" t="s">
        <v>2892</v>
      </c>
      <c r="B30" s="74"/>
      <c r="C30" s="39">
        <f>C20-C28</f>
        <v>-52715</v>
      </c>
      <c r="D30" s="71"/>
      <c r="E30" s="39">
        <f>E20-E28</f>
        <v>-51881</v>
      </c>
    </row>
    <row r="31" spans="1:5" ht="12.75" customHeight="1">
      <c r="A31" s="64"/>
      <c r="B31" s="65"/>
      <c r="C31" s="36"/>
      <c r="D31" s="42"/>
      <c r="E31" s="36"/>
    </row>
    <row r="32" spans="1:5" s="73" customFormat="1" ht="12.75" customHeight="1">
      <c r="A32" s="30"/>
      <c r="B32" s="31" t="s">
        <v>2841</v>
      </c>
      <c r="C32" s="36">
        <v>45130</v>
      </c>
      <c r="D32" s="42"/>
      <c r="E32" s="36">
        <v>44842</v>
      </c>
    </row>
    <row r="33" spans="1:5" ht="12.75" customHeight="1">
      <c r="A33" s="64"/>
      <c r="B33" s="65"/>
      <c r="C33" s="36"/>
      <c r="D33" s="42"/>
      <c r="E33" s="36"/>
    </row>
    <row r="34" spans="1:5" s="73" customFormat="1" ht="12.75" customHeight="1">
      <c r="A34" s="23" t="s">
        <v>2788</v>
      </c>
      <c r="B34" s="24"/>
      <c r="C34" s="36"/>
      <c r="D34" s="42"/>
      <c r="E34" s="36"/>
    </row>
    <row r="35" spans="1:5" s="73" customFormat="1" ht="12.75" customHeight="1">
      <c r="A35" s="23" t="s">
        <v>2789</v>
      </c>
      <c r="B35" s="74"/>
      <c r="C35" s="39">
        <f>C30+C32</f>
        <v>-7585</v>
      </c>
      <c r="D35" s="71"/>
      <c r="E35" s="39">
        <f>E30+E32</f>
        <v>-7039</v>
      </c>
    </row>
    <row r="36" spans="1:5" ht="12.75" customHeight="1">
      <c r="A36" s="64"/>
      <c r="B36" s="65"/>
      <c r="C36" s="36"/>
      <c r="D36" s="42"/>
      <c r="E36" s="36"/>
    </row>
    <row r="37" spans="1:5" s="73" customFormat="1" ht="12.75" customHeight="1">
      <c r="A37" s="23" t="s">
        <v>2842</v>
      </c>
      <c r="B37" s="24"/>
      <c r="C37" s="36"/>
      <c r="D37" s="42"/>
      <c r="E37" s="36"/>
    </row>
    <row r="38" spans="1:5" s="73" customFormat="1" ht="12.75" customHeight="1">
      <c r="A38" s="30"/>
      <c r="B38" s="31" t="s">
        <v>2843</v>
      </c>
      <c r="C38" s="36">
        <v>0</v>
      </c>
      <c r="D38" s="42"/>
      <c r="E38" s="36">
        <v>0</v>
      </c>
    </row>
    <row r="39" spans="1:5" s="73" customFormat="1" ht="12.75" customHeight="1">
      <c r="A39" s="30"/>
      <c r="B39" s="31" t="s">
        <v>2844</v>
      </c>
      <c r="C39" s="36">
        <v>10692</v>
      </c>
      <c r="D39" s="42"/>
      <c r="E39" s="36">
        <v>7968</v>
      </c>
    </row>
    <row r="40" spans="1:5" s="73" customFormat="1" ht="12.75" customHeight="1">
      <c r="A40" s="30"/>
      <c r="B40" s="31" t="s">
        <v>2845</v>
      </c>
      <c r="C40" s="36">
        <v>5940</v>
      </c>
      <c r="D40" s="42"/>
      <c r="E40" s="36">
        <v>7859</v>
      </c>
    </row>
    <row r="41" spans="1:5" s="73" customFormat="1" ht="12.75" customHeight="1">
      <c r="A41" s="30"/>
      <c r="B41" s="31" t="s">
        <v>2846</v>
      </c>
      <c r="C41" s="36">
        <v>-1491</v>
      </c>
      <c r="D41" s="42"/>
      <c r="E41" s="36">
        <v>-422</v>
      </c>
    </row>
    <row r="42" spans="1:5" s="73" customFormat="1" ht="12.75" customHeight="1">
      <c r="A42" s="30"/>
      <c r="B42" s="31" t="s">
        <v>2847</v>
      </c>
      <c r="C42" s="36">
        <v>-116</v>
      </c>
      <c r="D42" s="42"/>
      <c r="E42" s="36">
        <v>-117</v>
      </c>
    </row>
    <row r="43" spans="1:5" s="72" customFormat="1" ht="12.75" customHeight="1">
      <c r="A43" s="23"/>
      <c r="B43" s="24" t="s">
        <v>2911</v>
      </c>
      <c r="C43" s="39">
        <f>SUM(C38:C42)</f>
        <v>15025</v>
      </c>
      <c r="D43" s="71"/>
      <c r="E43" s="39">
        <f>SUM(E38:E42)</f>
        <v>15288</v>
      </c>
    </row>
    <row r="44" spans="1:5" s="72" customFormat="1" ht="12.75" customHeight="1">
      <c r="A44" s="23"/>
      <c r="B44" s="24"/>
      <c r="C44" s="39"/>
      <c r="D44" s="71"/>
      <c r="E44" s="39"/>
    </row>
    <row r="45" spans="1:5" s="72" customFormat="1" ht="12.75" customHeight="1">
      <c r="A45" s="23" t="s">
        <v>2790</v>
      </c>
      <c r="B45" s="24"/>
      <c r="C45" s="39">
        <f>SUM(C35+C43)</f>
        <v>7440</v>
      </c>
      <c r="D45" s="39">
        <f>SUM(D35+D43)</f>
        <v>0</v>
      </c>
      <c r="E45" s="39">
        <f>SUM(E35+E43)</f>
        <v>8249</v>
      </c>
    </row>
    <row r="46" spans="1:5" ht="12.75" customHeight="1">
      <c r="A46" s="64"/>
      <c r="B46" s="65"/>
      <c r="C46" s="36"/>
      <c r="D46" s="42"/>
      <c r="E46" s="36"/>
    </row>
    <row r="47" spans="1:5" s="73" customFormat="1" ht="12.75" customHeight="1">
      <c r="A47" s="30"/>
      <c r="B47" s="31" t="s">
        <v>2848</v>
      </c>
      <c r="C47" s="36">
        <v>0</v>
      </c>
      <c r="D47" s="42"/>
      <c r="E47" s="36">
        <v>0</v>
      </c>
    </row>
    <row r="48" spans="1:5" s="70" customFormat="1" ht="12.75" customHeight="1">
      <c r="A48" s="30"/>
      <c r="B48" s="31" t="s">
        <v>2849</v>
      </c>
      <c r="C48" s="36">
        <v>1953</v>
      </c>
      <c r="D48" s="42"/>
      <c r="E48" s="36">
        <v>3522</v>
      </c>
    </row>
    <row r="49" spans="1:5" s="70" customFormat="1" ht="12.75" customHeight="1">
      <c r="A49" s="30"/>
      <c r="B49" s="31" t="s">
        <v>2850</v>
      </c>
      <c r="C49" s="36">
        <v>4578</v>
      </c>
      <c r="D49" s="42"/>
      <c r="E49" s="36">
        <v>7034</v>
      </c>
    </row>
    <row r="50" spans="1:5" s="70" customFormat="1" ht="12.75" customHeight="1">
      <c r="A50" s="30"/>
      <c r="B50" s="31" t="s">
        <v>2851</v>
      </c>
      <c r="C50" s="36">
        <v>0</v>
      </c>
      <c r="D50" s="42"/>
      <c r="E50" s="36">
        <v>-332</v>
      </c>
    </row>
    <row r="51" spans="1:5" s="70" customFormat="1" ht="12.75" customHeight="1">
      <c r="A51" s="30"/>
      <c r="B51" s="31" t="s">
        <v>2852</v>
      </c>
      <c r="C51" s="36">
        <v>263</v>
      </c>
      <c r="D51" s="42"/>
      <c r="E51" s="36">
        <v>-248</v>
      </c>
    </row>
    <row r="52" spans="1:5" s="70" customFormat="1" ht="12.75" customHeight="1">
      <c r="A52" s="30"/>
      <c r="B52" s="31" t="s">
        <v>2853</v>
      </c>
      <c r="C52" s="36">
        <v>4110</v>
      </c>
      <c r="D52" s="42"/>
      <c r="E52" s="36">
        <v>3</v>
      </c>
    </row>
    <row r="53" spans="1:5" ht="12.75" customHeight="1">
      <c r="A53" s="64"/>
      <c r="B53" s="65"/>
      <c r="C53" s="36"/>
      <c r="D53" s="42"/>
      <c r="E53" s="36"/>
    </row>
    <row r="54" spans="1:5" s="70" customFormat="1" ht="12.75" customHeight="1">
      <c r="A54" s="27" t="s">
        <v>2791</v>
      </c>
      <c r="C54" s="39">
        <f>SUM(C45:C52)</f>
        <v>18344</v>
      </c>
      <c r="D54" s="39">
        <f>SUM(D45:D52)</f>
        <v>0</v>
      </c>
      <c r="E54" s="39">
        <f>SUM(E45:E52)</f>
        <v>18228</v>
      </c>
    </row>
    <row r="55" spans="1:5" ht="12.75" customHeight="1">
      <c r="A55" s="64"/>
      <c r="B55" s="65"/>
      <c r="C55" s="36"/>
      <c r="D55" s="42"/>
      <c r="E55" s="36"/>
    </row>
    <row r="56" spans="1:5" s="75" customFormat="1" ht="12.75" customHeight="1">
      <c r="A56" s="27" t="s">
        <v>2854</v>
      </c>
      <c r="C56" s="39">
        <f>E58</f>
        <v>253481</v>
      </c>
      <c r="D56" s="71"/>
      <c r="E56" s="39">
        <v>235253</v>
      </c>
    </row>
    <row r="57" spans="1:5" ht="12.75" customHeight="1">
      <c r="A57" s="64"/>
      <c r="B57" s="65"/>
      <c r="C57" s="32"/>
      <c r="E57" s="32"/>
    </row>
    <row r="58" spans="1:5" s="75" customFormat="1" ht="12.75" customHeight="1">
      <c r="A58" s="23" t="s">
        <v>2855</v>
      </c>
      <c r="B58" s="76"/>
      <c r="C58" s="41">
        <f>C56+C54</f>
        <v>271825</v>
      </c>
      <c r="D58" s="77"/>
      <c r="E58" s="41">
        <f>E56+E54</f>
        <v>253481</v>
      </c>
    </row>
    <row r="59" spans="1:5" s="70" customFormat="1" ht="12.75">
      <c r="A59" s="1"/>
      <c r="B59" s="1"/>
      <c r="C59" s="1"/>
      <c r="D59" s="1"/>
      <c r="E59" s="78"/>
    </row>
    <row r="60" spans="1:4" s="45" customFormat="1" ht="12.75">
      <c r="A60" s="48"/>
      <c r="D60" s="4"/>
    </row>
    <row r="61" spans="1:4" s="70" customFormat="1" ht="12.75">
      <c r="A61" s="1"/>
      <c r="B61" s="1"/>
      <c r="C61" s="1"/>
      <c r="D61" s="1"/>
    </row>
    <row r="62" spans="1:4" s="70" customFormat="1" ht="12.75">
      <c r="A62" s="1"/>
      <c r="B62" s="1"/>
      <c r="C62" s="1"/>
      <c r="D62" s="1"/>
    </row>
    <row r="63" spans="1:4" s="70" customFormat="1" ht="12.75">
      <c r="A63" s="1"/>
      <c r="B63" s="1"/>
      <c r="C63" s="1"/>
      <c r="D63" s="1"/>
    </row>
    <row r="64" spans="1:4" s="70" customFormat="1" ht="12.75">
      <c r="A64" s="1"/>
      <c r="B64" s="1"/>
      <c r="C64" s="1"/>
      <c r="D64" s="1"/>
    </row>
    <row r="65" spans="1:4" s="70" customFormat="1" ht="12.75">
      <c r="A65" s="1"/>
      <c r="B65" s="1"/>
      <c r="C65" s="1"/>
      <c r="D65" s="1"/>
    </row>
    <row r="66" spans="1:4" s="70" customFormat="1" ht="12.75">
      <c r="A66" s="1"/>
      <c r="B66" s="1"/>
      <c r="C66" s="1"/>
      <c r="D66" s="1"/>
    </row>
    <row r="67" spans="1:4" s="70" customFormat="1" ht="12.75">
      <c r="A67" s="1"/>
      <c r="B67" s="1"/>
      <c r="C67" s="1"/>
      <c r="D67" s="1"/>
    </row>
    <row r="68" spans="1:4" s="70" customFormat="1" ht="12.75">
      <c r="A68" s="1"/>
      <c r="B68" s="1"/>
      <c r="C68" s="1"/>
      <c r="D68" s="1"/>
    </row>
    <row r="69" spans="1:4" s="70" customFormat="1" ht="12.75">
      <c r="A69" s="1"/>
      <c r="B69" s="1"/>
      <c r="C69" s="1"/>
      <c r="D69" s="1"/>
    </row>
    <row r="70" spans="1:4" s="70" customFormat="1" ht="12.75">
      <c r="A70" s="1"/>
      <c r="B70" s="1"/>
      <c r="C70" s="1"/>
      <c r="D70" s="1"/>
    </row>
    <row r="71" spans="1:4" s="70" customFormat="1" ht="12.75">
      <c r="A71" s="1"/>
      <c r="B71" s="1"/>
      <c r="C71" s="1"/>
      <c r="D71" s="1"/>
    </row>
    <row r="72" spans="1:4" s="70" customFormat="1" ht="12.75">
      <c r="A72" s="1"/>
      <c r="B72" s="1"/>
      <c r="C72" s="1"/>
      <c r="D72" s="1"/>
    </row>
    <row r="73" spans="1:4" s="70" customFormat="1" ht="12.75">
      <c r="A73" s="1"/>
      <c r="B73" s="1"/>
      <c r="C73" s="1"/>
      <c r="D73" s="1"/>
    </row>
    <row r="74" spans="1:4" s="70" customFormat="1" ht="12.75">
      <c r="A74" s="1"/>
      <c r="B74" s="1"/>
      <c r="C74" s="1"/>
      <c r="D74" s="1"/>
    </row>
    <row r="75" spans="1:4" s="70" customFormat="1" ht="12.75">
      <c r="A75" s="1"/>
      <c r="B75" s="1"/>
      <c r="C75" s="1"/>
      <c r="D75" s="1"/>
    </row>
    <row r="76" spans="1:4" s="70" customFormat="1" ht="12.75">
      <c r="A76" s="1"/>
      <c r="B76" s="1"/>
      <c r="C76" s="1"/>
      <c r="D76" s="1"/>
    </row>
    <row r="77" spans="1:4" s="70" customFormat="1" ht="12.75">
      <c r="A77" s="1"/>
      <c r="B77" s="1"/>
      <c r="C77" s="1"/>
      <c r="D77" s="1"/>
    </row>
    <row r="78" spans="1:4" s="70" customFormat="1" ht="12.75">
      <c r="A78" s="1"/>
      <c r="B78" s="1"/>
      <c r="C78" s="1"/>
      <c r="D78" s="1"/>
    </row>
    <row r="79" spans="1:4" s="70" customFormat="1" ht="12.75">
      <c r="A79" s="1"/>
      <c r="B79" s="1"/>
      <c r="C79" s="1"/>
      <c r="D79" s="1"/>
    </row>
    <row r="80" spans="1:4" s="70" customFormat="1" ht="12.75">
      <c r="A80" s="1"/>
      <c r="B80" s="1"/>
      <c r="C80" s="1"/>
      <c r="D80" s="1"/>
    </row>
    <row r="81" spans="1:4" s="70" customFormat="1" ht="12.75">
      <c r="A81" s="1"/>
      <c r="B81" s="1"/>
      <c r="C81" s="1"/>
      <c r="D81" s="1"/>
    </row>
    <row r="82" spans="1:4" s="70" customFormat="1" ht="12.75">
      <c r="A82" s="1"/>
      <c r="B82" s="1"/>
      <c r="C82" s="1"/>
      <c r="D82" s="1"/>
    </row>
    <row r="83" spans="1:4" s="70" customFormat="1" ht="12.75">
      <c r="A83" s="1"/>
      <c r="B83" s="1"/>
      <c r="C83" s="1"/>
      <c r="D83" s="1"/>
    </row>
    <row r="84" spans="1:4" s="70" customFormat="1" ht="12.75">
      <c r="A84" s="1"/>
      <c r="B84" s="1"/>
      <c r="C84" s="1"/>
      <c r="D84" s="1"/>
    </row>
    <row r="85" spans="1:4" s="70" customFormat="1" ht="12.75">
      <c r="A85" s="1"/>
      <c r="B85" s="1"/>
      <c r="C85" s="1"/>
      <c r="D85" s="1"/>
    </row>
    <row r="86" spans="1:4" s="70" customFormat="1" ht="12.75">
      <c r="A86" s="1"/>
      <c r="B86" s="1"/>
      <c r="C86" s="1"/>
      <c r="D86" s="1"/>
    </row>
    <row r="87" spans="1:4" s="70" customFormat="1" ht="12.75">
      <c r="A87" s="1"/>
      <c r="B87" s="1"/>
      <c r="C87" s="1"/>
      <c r="D87" s="1"/>
    </row>
    <row r="88" spans="1:4" s="70" customFormat="1" ht="12.75">
      <c r="A88" s="1"/>
      <c r="B88" s="1"/>
      <c r="C88" s="1"/>
      <c r="D88" s="1"/>
    </row>
    <row r="89" spans="1:4" s="70" customFormat="1" ht="12.75">
      <c r="A89" s="1"/>
      <c r="B89" s="1"/>
      <c r="C89" s="1"/>
      <c r="D89" s="1"/>
    </row>
    <row r="90" spans="1:4" s="70" customFormat="1" ht="12.75">
      <c r="A90" s="1"/>
      <c r="B90" s="1"/>
      <c r="C90" s="1"/>
      <c r="D90" s="1"/>
    </row>
    <row r="91" spans="1:4" s="70" customFormat="1" ht="12.75">
      <c r="A91" s="1"/>
      <c r="B91" s="1"/>
      <c r="C91" s="1"/>
      <c r="D91" s="1"/>
    </row>
    <row r="92" spans="1:4" s="70" customFormat="1" ht="12.75">
      <c r="A92" s="1"/>
      <c r="B92" s="1"/>
      <c r="C92" s="1"/>
      <c r="D92" s="1"/>
    </row>
    <row r="93" spans="1:4" s="70" customFormat="1" ht="12.75">
      <c r="A93" s="1"/>
      <c r="B93" s="1"/>
      <c r="C93" s="1"/>
      <c r="D93" s="1"/>
    </row>
    <row r="94" spans="1:4" s="70" customFormat="1" ht="12.75">
      <c r="A94" s="1"/>
      <c r="B94" s="1"/>
      <c r="C94" s="1"/>
      <c r="D94" s="1"/>
    </row>
    <row r="95" spans="1:4" s="70" customFormat="1" ht="12.75">
      <c r="A95" s="1"/>
      <c r="B95" s="1"/>
      <c r="C95" s="1"/>
      <c r="D95" s="1"/>
    </row>
    <row r="96" spans="1:4" s="70" customFormat="1" ht="12.75">
      <c r="A96" s="1"/>
      <c r="B96" s="1"/>
      <c r="C96" s="1"/>
      <c r="D96" s="1"/>
    </row>
    <row r="97" spans="1:4" s="70" customFormat="1" ht="12.75">
      <c r="A97" s="1"/>
      <c r="B97" s="1"/>
      <c r="C97" s="1"/>
      <c r="D97" s="1"/>
    </row>
    <row r="98" spans="1:4" s="70" customFormat="1" ht="12.75">
      <c r="A98" s="1"/>
      <c r="B98" s="1"/>
      <c r="C98" s="1"/>
      <c r="D98" s="1"/>
    </row>
    <row r="99" spans="1:4" s="70" customFormat="1" ht="12.75">
      <c r="A99" s="1"/>
      <c r="B99" s="1"/>
      <c r="C99" s="1"/>
      <c r="D99" s="1"/>
    </row>
    <row r="100" spans="1:4" s="70" customFormat="1" ht="12.75">
      <c r="A100" s="1"/>
      <c r="B100" s="1"/>
      <c r="C100" s="1"/>
      <c r="D100" s="1"/>
    </row>
    <row r="101" spans="1:4" s="70" customFormat="1" ht="12.75">
      <c r="A101" s="1"/>
      <c r="B101" s="1"/>
      <c r="C101" s="1"/>
      <c r="D101" s="1"/>
    </row>
    <row r="102" spans="1:4" s="70" customFormat="1" ht="12.75">
      <c r="A102" s="1"/>
      <c r="B102" s="1"/>
      <c r="C102" s="1"/>
      <c r="D102" s="1"/>
    </row>
    <row r="103" spans="1:4" s="70" customFormat="1" ht="12.75">
      <c r="A103" s="1"/>
      <c r="B103" s="1"/>
      <c r="C103" s="1"/>
      <c r="D103" s="1"/>
    </row>
    <row r="104" spans="1:4" s="70" customFormat="1" ht="12.75">
      <c r="A104" s="1"/>
      <c r="B104" s="1"/>
      <c r="C104" s="1"/>
      <c r="D104" s="1"/>
    </row>
    <row r="105" spans="1:4" s="70" customFormat="1" ht="12.75">
      <c r="A105" s="1"/>
      <c r="B105" s="1"/>
      <c r="C105" s="1"/>
      <c r="D105" s="1"/>
    </row>
    <row r="106" spans="1:4" s="70" customFormat="1" ht="12.75">
      <c r="A106" s="1"/>
      <c r="B106" s="1"/>
      <c r="C106" s="1"/>
      <c r="D106" s="1"/>
    </row>
    <row r="107" spans="1:4" s="70" customFormat="1" ht="12.75">
      <c r="A107" s="1"/>
      <c r="B107" s="1"/>
      <c r="C107" s="1"/>
      <c r="D107" s="1"/>
    </row>
    <row r="108" spans="1:4" s="70" customFormat="1" ht="12.75">
      <c r="A108" s="1"/>
      <c r="B108" s="1"/>
      <c r="C108" s="1"/>
      <c r="D108" s="1"/>
    </row>
    <row r="109" spans="1:4" s="70" customFormat="1" ht="12.75">
      <c r="A109" s="1"/>
      <c r="B109" s="1"/>
      <c r="C109" s="1"/>
      <c r="D109" s="1"/>
    </row>
    <row r="110" spans="1:4" s="70" customFormat="1" ht="12.75">
      <c r="A110" s="1"/>
      <c r="B110" s="1"/>
      <c r="C110" s="1"/>
      <c r="D110" s="1"/>
    </row>
    <row r="111" spans="1:4" s="70" customFormat="1" ht="12.75">
      <c r="A111" s="1"/>
      <c r="B111" s="1"/>
      <c r="C111" s="1"/>
      <c r="D111" s="1"/>
    </row>
    <row r="112" spans="1:4" s="70" customFormat="1" ht="12.75">
      <c r="A112" s="1"/>
      <c r="B112" s="1"/>
      <c r="C112" s="1"/>
      <c r="D112" s="1"/>
    </row>
    <row r="113" spans="1:4" s="70" customFormat="1" ht="12.75">
      <c r="A113" s="1"/>
      <c r="B113" s="1"/>
      <c r="C113" s="1"/>
      <c r="D113" s="1"/>
    </row>
    <row r="114" spans="1:4" s="70" customFormat="1" ht="12.75">
      <c r="A114" s="1"/>
      <c r="B114" s="1"/>
      <c r="C114" s="1"/>
      <c r="D114" s="1"/>
    </row>
    <row r="115" spans="1:4" s="70" customFormat="1" ht="12.75">
      <c r="A115" s="1"/>
      <c r="B115" s="1"/>
      <c r="C115" s="1"/>
      <c r="D115" s="1"/>
    </row>
    <row r="116" spans="1:4" s="70" customFormat="1" ht="12.75">
      <c r="A116" s="1"/>
      <c r="B116" s="1"/>
      <c r="C116" s="1"/>
      <c r="D116" s="1"/>
    </row>
    <row r="117" spans="1:4" s="70" customFormat="1" ht="12.75">
      <c r="A117" s="1"/>
      <c r="B117" s="1"/>
      <c r="C117" s="1"/>
      <c r="D117" s="1"/>
    </row>
    <row r="118" spans="1:4" s="70" customFormat="1" ht="12.75">
      <c r="A118" s="1"/>
      <c r="B118" s="1"/>
      <c r="C118" s="1"/>
      <c r="D118" s="1"/>
    </row>
    <row r="119" spans="1:4" s="70" customFormat="1" ht="12.75">
      <c r="A119" s="1"/>
      <c r="B119" s="1"/>
      <c r="C119" s="1"/>
      <c r="D119" s="1"/>
    </row>
    <row r="120" spans="1:4" s="70" customFormat="1" ht="12.75">
      <c r="A120" s="1"/>
      <c r="B120" s="1"/>
      <c r="C120" s="1"/>
      <c r="D120" s="1"/>
    </row>
    <row r="121" spans="1:4" s="70" customFormat="1" ht="12.75">
      <c r="A121" s="1"/>
      <c r="B121" s="1"/>
      <c r="C121" s="1"/>
      <c r="D121" s="1"/>
    </row>
    <row r="122" spans="1:4" s="70" customFormat="1" ht="12.75">
      <c r="A122" s="1"/>
      <c r="B122" s="1"/>
      <c r="C122" s="1"/>
      <c r="D122" s="1"/>
    </row>
    <row r="123" spans="1:4" s="70" customFormat="1" ht="12.75">
      <c r="A123" s="1"/>
      <c r="B123" s="1"/>
      <c r="C123" s="1"/>
      <c r="D123" s="1"/>
    </row>
    <row r="124" spans="1:4" s="70" customFormat="1" ht="12.75">
      <c r="A124" s="1"/>
      <c r="B124" s="1"/>
      <c r="C124" s="1"/>
      <c r="D124" s="1"/>
    </row>
    <row r="125" spans="1:4" s="70" customFormat="1" ht="12.75">
      <c r="A125" s="1"/>
      <c r="B125" s="1"/>
      <c r="C125" s="1"/>
      <c r="D125" s="1"/>
    </row>
    <row r="126" spans="1:4" s="70" customFormat="1" ht="12.75">
      <c r="A126" s="1"/>
      <c r="B126" s="1"/>
      <c r="C126" s="1"/>
      <c r="D126" s="1"/>
    </row>
    <row r="127" spans="1:4" s="70" customFormat="1" ht="12.75">
      <c r="A127" s="1"/>
      <c r="B127" s="1"/>
      <c r="C127" s="1"/>
      <c r="D127" s="1"/>
    </row>
    <row r="128" spans="1:4" s="70" customFormat="1" ht="12.75">
      <c r="A128" s="1"/>
      <c r="B128" s="1"/>
      <c r="C128" s="1"/>
      <c r="D128" s="1"/>
    </row>
    <row r="129" spans="1:4" s="70" customFormat="1" ht="12.75">
      <c r="A129" s="1"/>
      <c r="B129" s="1"/>
      <c r="C129" s="1"/>
      <c r="D129" s="1"/>
    </row>
    <row r="130" spans="1:4" s="70" customFormat="1" ht="12.75">
      <c r="A130" s="1"/>
      <c r="B130" s="1"/>
      <c r="C130" s="1"/>
      <c r="D130" s="1"/>
    </row>
    <row r="131" spans="1:4" s="70" customFormat="1" ht="12.75">
      <c r="A131" s="1"/>
      <c r="B131" s="1"/>
      <c r="C131" s="1"/>
      <c r="D131" s="1"/>
    </row>
    <row r="132" spans="1:4" s="70" customFormat="1" ht="12.75">
      <c r="A132" s="1"/>
      <c r="B132" s="1"/>
      <c r="C132" s="1"/>
      <c r="D132" s="1"/>
    </row>
    <row r="133" spans="1:4" s="70" customFormat="1" ht="12.75">
      <c r="A133" s="1"/>
      <c r="B133" s="1"/>
      <c r="C133" s="1"/>
      <c r="D133" s="1"/>
    </row>
    <row r="134" spans="1:4" s="70" customFormat="1" ht="12.75">
      <c r="A134" s="1"/>
      <c r="B134" s="1"/>
      <c r="C134" s="1"/>
      <c r="D134" s="1"/>
    </row>
    <row r="135" spans="1:4" s="70" customFormat="1" ht="12.75">
      <c r="A135" s="1"/>
      <c r="B135" s="1"/>
      <c r="C135" s="1"/>
      <c r="D135" s="1"/>
    </row>
    <row r="136" spans="1:4" s="70" customFormat="1" ht="12.75">
      <c r="A136" s="1"/>
      <c r="B136" s="1"/>
      <c r="C136" s="1"/>
      <c r="D136" s="1"/>
    </row>
    <row r="137" spans="1:4" s="70" customFormat="1" ht="12.75">
      <c r="A137" s="1"/>
      <c r="B137" s="1"/>
      <c r="C137" s="1"/>
      <c r="D137" s="1"/>
    </row>
    <row r="138" spans="1:4" s="70" customFormat="1" ht="12.75">
      <c r="A138" s="1"/>
      <c r="B138" s="1"/>
      <c r="C138" s="1"/>
      <c r="D138" s="1"/>
    </row>
    <row r="139" spans="1:4" s="70" customFormat="1" ht="12.75">
      <c r="A139" s="1"/>
      <c r="B139" s="1"/>
      <c r="C139" s="1"/>
      <c r="D139" s="1"/>
    </row>
    <row r="140" spans="1:4" s="70" customFormat="1" ht="12.75">
      <c r="A140" s="1"/>
      <c r="B140" s="1"/>
      <c r="C140" s="1"/>
      <c r="D140" s="1"/>
    </row>
    <row r="141" spans="1:4" s="70" customFormat="1" ht="12.75">
      <c r="A141" s="1"/>
      <c r="B141" s="1"/>
      <c r="C141" s="1"/>
      <c r="D141" s="1"/>
    </row>
    <row r="142" spans="1:4" s="70" customFormat="1" ht="12.75">
      <c r="A142" s="1"/>
      <c r="B142" s="1"/>
      <c r="C142" s="1"/>
      <c r="D142" s="1"/>
    </row>
    <row r="143" spans="1:4" s="70" customFormat="1" ht="12.75">
      <c r="A143" s="1"/>
      <c r="B143" s="1"/>
      <c r="C143" s="1"/>
      <c r="D143" s="1"/>
    </row>
    <row r="144" spans="1:4" s="70" customFormat="1" ht="12.75">
      <c r="A144" s="1"/>
      <c r="B144" s="1"/>
      <c r="C144" s="1"/>
      <c r="D144" s="1"/>
    </row>
    <row r="145" spans="1:4" s="70" customFormat="1" ht="12.75">
      <c r="A145" s="1"/>
      <c r="B145" s="1"/>
      <c r="C145" s="1"/>
      <c r="D145" s="1"/>
    </row>
    <row r="146" spans="1:4" s="70" customFormat="1" ht="12.75">
      <c r="A146" s="1"/>
      <c r="B146" s="1"/>
      <c r="C146" s="1"/>
      <c r="D146" s="1"/>
    </row>
    <row r="147" spans="1:4" s="70" customFormat="1" ht="12.75">
      <c r="A147" s="1"/>
      <c r="B147" s="1"/>
      <c r="C147" s="1"/>
      <c r="D147" s="1"/>
    </row>
    <row r="148" spans="1:4" s="70" customFormat="1" ht="12.75">
      <c r="A148" s="1"/>
      <c r="B148" s="1"/>
      <c r="C148" s="1"/>
      <c r="D148" s="1"/>
    </row>
    <row r="149" spans="1:4" s="70" customFormat="1" ht="12.75">
      <c r="A149" s="1"/>
      <c r="B149" s="1"/>
      <c r="C149" s="1"/>
      <c r="D149" s="1"/>
    </row>
    <row r="150" spans="1:4" s="70" customFormat="1" ht="12.75">
      <c r="A150" s="1"/>
      <c r="B150" s="1"/>
      <c r="C150" s="1"/>
      <c r="D150" s="1"/>
    </row>
    <row r="151" spans="1:4" s="70" customFormat="1" ht="12.75">
      <c r="A151" s="1"/>
      <c r="B151" s="1"/>
      <c r="C151" s="1"/>
      <c r="D151" s="1"/>
    </row>
    <row r="152" spans="1:4" s="70" customFormat="1" ht="12.75">
      <c r="A152" s="1"/>
      <c r="B152" s="1"/>
      <c r="C152" s="1"/>
      <c r="D152" s="1"/>
    </row>
    <row r="153" spans="1:4" s="70" customFormat="1" ht="12.75">
      <c r="A153" s="1"/>
      <c r="B153" s="1"/>
      <c r="C153" s="1"/>
      <c r="D153" s="1"/>
    </row>
    <row r="154" spans="1:4" s="70" customFormat="1" ht="12.75">
      <c r="A154" s="1"/>
      <c r="B154" s="1"/>
      <c r="C154" s="1"/>
      <c r="D154" s="1"/>
    </row>
    <row r="155" spans="1:4" s="70" customFormat="1" ht="12.75">
      <c r="A155" s="1"/>
      <c r="B155" s="1"/>
      <c r="C155" s="1"/>
      <c r="D155" s="1"/>
    </row>
    <row r="156" spans="1:4" s="70" customFormat="1" ht="12.75">
      <c r="A156" s="1"/>
      <c r="B156" s="1"/>
      <c r="C156" s="1"/>
      <c r="D156" s="1"/>
    </row>
    <row r="157" spans="1:4" s="70" customFormat="1" ht="12.75">
      <c r="A157" s="1"/>
      <c r="B157" s="1"/>
      <c r="C157" s="1"/>
      <c r="D157" s="1"/>
    </row>
    <row r="158" spans="1:4" s="70" customFormat="1" ht="12.75">
      <c r="A158" s="1"/>
      <c r="B158" s="1"/>
      <c r="C158" s="1"/>
      <c r="D158" s="1"/>
    </row>
    <row r="159" spans="1:4" s="70" customFormat="1" ht="12.75">
      <c r="A159" s="1"/>
      <c r="B159" s="1"/>
      <c r="C159" s="1"/>
      <c r="D159" s="1"/>
    </row>
    <row r="160" spans="1:4" s="70" customFormat="1" ht="12.75">
      <c r="A160" s="1"/>
      <c r="B160" s="1"/>
      <c r="C160" s="1"/>
      <c r="D160" s="1"/>
    </row>
    <row r="161" spans="1:4" s="70" customFormat="1" ht="12.75">
      <c r="A161" s="1"/>
      <c r="B161" s="1"/>
      <c r="C161" s="1"/>
      <c r="D161" s="1"/>
    </row>
    <row r="162" spans="1:4" s="70" customFormat="1" ht="12.75">
      <c r="A162" s="1"/>
      <c r="B162" s="1"/>
      <c r="C162" s="1"/>
      <c r="D162" s="1"/>
    </row>
    <row r="163" spans="1:4" s="70" customFormat="1" ht="12.75">
      <c r="A163" s="1"/>
      <c r="B163" s="1"/>
      <c r="C163" s="1"/>
      <c r="D163" s="1"/>
    </row>
    <row r="164" spans="1:4" s="70" customFormat="1" ht="12.75">
      <c r="A164" s="1"/>
      <c r="B164" s="1"/>
      <c r="C164" s="1"/>
      <c r="D164" s="1"/>
    </row>
    <row r="165" spans="1:4" s="70" customFormat="1" ht="12.75">
      <c r="A165" s="1"/>
      <c r="B165" s="1"/>
      <c r="C165" s="1"/>
      <c r="D165" s="1"/>
    </row>
    <row r="166" spans="1:4" s="70" customFormat="1" ht="12.75">
      <c r="A166" s="1"/>
      <c r="B166" s="1"/>
      <c r="C166" s="1"/>
      <c r="D166" s="1"/>
    </row>
    <row r="167" spans="1:4" s="70" customFormat="1" ht="12.75">
      <c r="A167" s="1"/>
      <c r="B167" s="1"/>
      <c r="C167" s="1"/>
      <c r="D167" s="1"/>
    </row>
    <row r="168" spans="1:4" s="70" customFormat="1" ht="12.75">
      <c r="A168" s="1"/>
      <c r="B168" s="1"/>
      <c r="C168" s="1"/>
      <c r="D168" s="1"/>
    </row>
    <row r="169" spans="1:4" s="70" customFormat="1" ht="12.75">
      <c r="A169" s="1"/>
      <c r="B169" s="1"/>
      <c r="C169" s="1"/>
      <c r="D169" s="1"/>
    </row>
    <row r="170" spans="1:4" s="70" customFormat="1" ht="12.75">
      <c r="A170" s="1"/>
      <c r="B170" s="1"/>
      <c r="C170" s="1"/>
      <c r="D170" s="1"/>
    </row>
    <row r="171" spans="1:4" s="70" customFormat="1" ht="12.75">
      <c r="A171" s="1"/>
      <c r="B171" s="1"/>
      <c r="C171" s="1"/>
      <c r="D171" s="1"/>
    </row>
    <row r="172" spans="1:4" s="70" customFormat="1" ht="12.75">
      <c r="A172" s="1"/>
      <c r="B172" s="1"/>
      <c r="C172" s="1"/>
      <c r="D172" s="1"/>
    </row>
    <row r="173" spans="1:4" s="70" customFormat="1" ht="12.75">
      <c r="A173" s="1"/>
      <c r="B173" s="1"/>
      <c r="C173" s="1"/>
      <c r="D173" s="1"/>
    </row>
    <row r="174" spans="1:4" s="70" customFormat="1" ht="12.75">
      <c r="A174" s="1"/>
      <c r="B174" s="1"/>
      <c r="C174" s="1"/>
      <c r="D174" s="1"/>
    </row>
    <row r="175" spans="1:4" s="70" customFormat="1" ht="12.75">
      <c r="A175" s="1"/>
      <c r="B175" s="1"/>
      <c r="C175" s="1"/>
      <c r="D175" s="1"/>
    </row>
    <row r="176" spans="1:4" s="70" customFormat="1" ht="12.75">
      <c r="A176" s="1"/>
      <c r="B176" s="1"/>
      <c r="C176" s="1"/>
      <c r="D176" s="1"/>
    </row>
    <row r="177" spans="1:4" s="70" customFormat="1" ht="12.75">
      <c r="A177" s="1"/>
      <c r="B177" s="1"/>
      <c r="C177" s="1"/>
      <c r="D177" s="1"/>
    </row>
    <row r="178" spans="1:4" s="70" customFormat="1" ht="12.75">
      <c r="A178" s="1"/>
      <c r="B178" s="1"/>
      <c r="C178" s="1"/>
      <c r="D178" s="1"/>
    </row>
    <row r="179" spans="1:4" s="70" customFormat="1" ht="12.75">
      <c r="A179" s="1"/>
      <c r="B179" s="1"/>
      <c r="C179" s="1"/>
      <c r="D179" s="1"/>
    </row>
    <row r="180" spans="1:4" s="70" customFormat="1" ht="12.75">
      <c r="A180" s="1"/>
      <c r="B180" s="1"/>
      <c r="C180" s="1"/>
      <c r="D180" s="1"/>
    </row>
    <row r="181" spans="1:4" s="70" customFormat="1" ht="12.75">
      <c r="A181" s="1"/>
      <c r="B181" s="1"/>
      <c r="C181" s="1"/>
      <c r="D181" s="1"/>
    </row>
    <row r="182" spans="1:4" s="70" customFormat="1" ht="12.75">
      <c r="A182" s="1"/>
      <c r="B182" s="1"/>
      <c r="C182" s="1"/>
      <c r="D182" s="1"/>
    </row>
    <row r="183" spans="1:4" s="70" customFormat="1" ht="12.75">
      <c r="A183" s="1"/>
      <c r="B183" s="1"/>
      <c r="C183" s="1"/>
      <c r="D183" s="1"/>
    </row>
    <row r="184" spans="1:4" s="70" customFormat="1" ht="12.75">
      <c r="A184" s="1"/>
      <c r="B184" s="1"/>
      <c r="C184" s="1"/>
      <c r="D184" s="1"/>
    </row>
    <row r="185" spans="1:4" s="70" customFormat="1" ht="12.75">
      <c r="A185" s="1"/>
      <c r="B185" s="1"/>
      <c r="C185" s="1"/>
      <c r="D185" s="1"/>
    </row>
    <row r="186" spans="1:4" s="70" customFormat="1" ht="12.75">
      <c r="A186" s="1"/>
      <c r="B186" s="1"/>
      <c r="C186" s="1"/>
      <c r="D186" s="1"/>
    </row>
    <row r="187" spans="1:4" s="70" customFormat="1" ht="12.75">
      <c r="A187" s="1"/>
      <c r="B187" s="1"/>
      <c r="C187" s="1"/>
      <c r="D187" s="1"/>
    </row>
    <row r="188" spans="1:4" s="70" customFormat="1" ht="12.75">
      <c r="A188" s="1"/>
      <c r="B188" s="1"/>
      <c r="C188" s="1"/>
      <c r="D188" s="1"/>
    </row>
    <row r="189" spans="1:4" s="70" customFormat="1" ht="12.75">
      <c r="A189" s="1"/>
      <c r="B189" s="1"/>
      <c r="C189" s="1"/>
      <c r="D189" s="1"/>
    </row>
    <row r="190" spans="1:4" s="70" customFormat="1" ht="12.75">
      <c r="A190" s="1"/>
      <c r="B190" s="1"/>
      <c r="C190" s="1"/>
      <c r="D190" s="1"/>
    </row>
    <row r="191" spans="1:4" s="70" customFormat="1" ht="12.75">
      <c r="A191" s="1"/>
      <c r="B191" s="1"/>
      <c r="C191" s="1"/>
      <c r="D191" s="1"/>
    </row>
    <row r="192" spans="1:4" s="70" customFormat="1" ht="12.75">
      <c r="A192" s="1"/>
      <c r="B192" s="1"/>
      <c r="C192" s="1"/>
      <c r="D192" s="1"/>
    </row>
    <row r="193" spans="1:4" s="70" customFormat="1" ht="12.75">
      <c r="A193" s="1"/>
      <c r="B193" s="1"/>
      <c r="C193" s="1"/>
      <c r="D193" s="1"/>
    </row>
    <row r="194" spans="1:4" s="70" customFormat="1" ht="12.75">
      <c r="A194" s="1"/>
      <c r="B194" s="1"/>
      <c r="C194" s="1"/>
      <c r="D194" s="1"/>
    </row>
    <row r="195" spans="1:4" s="70" customFormat="1" ht="12.75">
      <c r="A195" s="1"/>
      <c r="B195" s="1"/>
      <c r="C195" s="1"/>
      <c r="D195" s="1"/>
    </row>
    <row r="196" spans="1:4" s="70" customFormat="1" ht="12.75">
      <c r="A196" s="1"/>
      <c r="B196" s="1"/>
      <c r="C196" s="1"/>
      <c r="D196" s="1"/>
    </row>
    <row r="197" spans="1:4" s="70" customFormat="1" ht="12.75">
      <c r="A197" s="1"/>
      <c r="B197" s="1"/>
      <c r="C197" s="1"/>
      <c r="D197" s="1"/>
    </row>
    <row r="198" spans="1:4" s="70" customFormat="1" ht="12.75">
      <c r="A198" s="1"/>
      <c r="B198" s="1"/>
      <c r="C198" s="1"/>
      <c r="D198" s="1"/>
    </row>
    <row r="199" spans="1:4" s="70" customFormat="1" ht="12.75">
      <c r="A199" s="1"/>
      <c r="B199" s="1"/>
      <c r="C199" s="1"/>
      <c r="D199" s="1"/>
    </row>
    <row r="200" spans="1:4" s="70" customFormat="1" ht="12.75">
      <c r="A200" s="1"/>
      <c r="B200" s="1"/>
      <c r="C200" s="1"/>
      <c r="D200" s="1"/>
    </row>
    <row r="201" spans="1:4" s="70" customFormat="1" ht="12.75">
      <c r="A201" s="1"/>
      <c r="B201" s="1"/>
      <c r="C201" s="1"/>
      <c r="D201" s="1"/>
    </row>
    <row r="202" spans="1:4" s="70" customFormat="1" ht="12.75">
      <c r="A202" s="1"/>
      <c r="B202" s="1"/>
      <c r="C202" s="1"/>
      <c r="D202" s="1"/>
    </row>
    <row r="203" spans="1:4" s="70" customFormat="1" ht="12.75">
      <c r="A203" s="1"/>
      <c r="B203" s="1"/>
      <c r="C203" s="1"/>
      <c r="D203" s="1"/>
    </row>
    <row r="204" spans="1:4" s="70" customFormat="1" ht="12.75">
      <c r="A204" s="1"/>
      <c r="B204" s="1"/>
      <c r="C204" s="1"/>
      <c r="D204" s="1"/>
    </row>
    <row r="205" spans="1:4" s="70" customFormat="1" ht="12.75">
      <c r="A205" s="1"/>
      <c r="B205" s="1"/>
      <c r="C205" s="1"/>
      <c r="D205" s="1"/>
    </row>
    <row r="206" spans="1:4" s="70" customFormat="1" ht="12.75">
      <c r="A206" s="1"/>
      <c r="B206" s="1"/>
      <c r="C206" s="1"/>
      <c r="D206" s="1"/>
    </row>
    <row r="207" spans="1:4" s="70" customFormat="1" ht="12.75">
      <c r="A207" s="1"/>
      <c r="B207" s="1"/>
      <c r="C207" s="1"/>
      <c r="D207" s="1"/>
    </row>
    <row r="208" spans="1:4" s="70" customFormat="1" ht="12.75">
      <c r="A208" s="1"/>
      <c r="B208" s="1"/>
      <c r="C208" s="1"/>
      <c r="D208" s="1"/>
    </row>
    <row r="209" spans="1:4" s="70" customFormat="1" ht="12.75">
      <c r="A209" s="1"/>
      <c r="B209" s="1"/>
      <c r="C209" s="1"/>
      <c r="D209" s="1"/>
    </row>
    <row r="210" spans="1:4" s="70" customFormat="1" ht="12.75">
      <c r="A210" s="1"/>
      <c r="B210" s="1"/>
      <c r="C210" s="1"/>
      <c r="D210" s="1"/>
    </row>
    <row r="211" spans="1:4" s="70" customFormat="1" ht="12.75">
      <c r="A211" s="1"/>
      <c r="B211" s="1"/>
      <c r="C211" s="1"/>
      <c r="D211" s="1"/>
    </row>
    <row r="212" spans="1:4" s="70" customFormat="1" ht="12.75">
      <c r="A212" s="1"/>
      <c r="B212" s="1"/>
      <c r="C212" s="1"/>
      <c r="D212" s="1"/>
    </row>
    <row r="213" spans="1:4" s="70" customFormat="1" ht="12.75">
      <c r="A213" s="1"/>
      <c r="B213" s="1"/>
      <c r="C213" s="1"/>
      <c r="D213" s="1"/>
    </row>
    <row r="214" spans="1:4" s="70" customFormat="1" ht="12.75">
      <c r="A214" s="1"/>
      <c r="B214" s="1"/>
      <c r="C214" s="1"/>
      <c r="D214" s="1"/>
    </row>
    <row r="215" spans="1:4" s="70" customFormat="1" ht="12.75">
      <c r="A215" s="1"/>
      <c r="B215" s="1"/>
      <c r="C215" s="1"/>
      <c r="D215" s="1"/>
    </row>
    <row r="216" spans="1:4" s="70" customFormat="1" ht="12.75">
      <c r="A216" s="1"/>
      <c r="B216" s="1"/>
      <c r="C216" s="1"/>
      <c r="D216" s="1"/>
    </row>
    <row r="217" spans="1:4" s="70" customFormat="1" ht="12.75">
      <c r="A217" s="1"/>
      <c r="B217" s="1"/>
      <c r="C217" s="1"/>
      <c r="D217" s="1"/>
    </row>
    <row r="218" spans="1:4" s="70" customFormat="1" ht="12.75">
      <c r="A218" s="1"/>
      <c r="B218" s="1"/>
      <c r="C218" s="1"/>
      <c r="D218" s="1"/>
    </row>
    <row r="219" spans="1:4" s="70" customFormat="1" ht="12.75">
      <c r="A219" s="1"/>
      <c r="B219" s="1"/>
      <c r="C219" s="1"/>
      <c r="D219" s="1"/>
    </row>
    <row r="220" spans="1:4" s="70" customFormat="1" ht="12.75">
      <c r="A220" s="1"/>
      <c r="B220" s="1"/>
      <c r="C220" s="1"/>
      <c r="D220" s="1"/>
    </row>
    <row r="221" spans="1:4" s="70" customFormat="1" ht="12.75">
      <c r="A221" s="1"/>
      <c r="B221" s="1"/>
      <c r="C221" s="1"/>
      <c r="D221" s="1"/>
    </row>
    <row r="222" spans="1:4" s="70" customFormat="1" ht="12.75">
      <c r="A222" s="1"/>
      <c r="B222" s="1"/>
      <c r="C222" s="1"/>
      <c r="D222" s="1"/>
    </row>
    <row r="223" spans="1:4" s="70" customFormat="1" ht="12.75">
      <c r="A223" s="1"/>
      <c r="B223" s="1"/>
      <c r="C223" s="1"/>
      <c r="D223" s="1"/>
    </row>
    <row r="224" spans="1:4" s="70" customFormat="1" ht="12.75">
      <c r="A224" s="1"/>
      <c r="B224" s="1"/>
      <c r="C224" s="1"/>
      <c r="D224" s="1"/>
    </row>
    <row r="225" spans="1:4" s="70" customFormat="1" ht="12.75">
      <c r="A225" s="1"/>
      <c r="B225" s="1"/>
      <c r="C225" s="1"/>
      <c r="D225" s="1"/>
    </row>
    <row r="226" spans="1:4" s="70" customFormat="1" ht="12.75">
      <c r="A226" s="1"/>
      <c r="B226" s="1"/>
      <c r="C226" s="1"/>
      <c r="D226" s="1"/>
    </row>
    <row r="227" spans="1:4" s="70" customFormat="1" ht="12.75">
      <c r="A227" s="1"/>
      <c r="B227" s="1"/>
      <c r="C227" s="1"/>
      <c r="D227" s="1"/>
    </row>
    <row r="228" spans="1:4" s="70" customFormat="1" ht="12.75">
      <c r="A228" s="1"/>
      <c r="B228" s="1"/>
      <c r="C228" s="1"/>
      <c r="D228" s="1"/>
    </row>
    <row r="229" spans="1:4" s="70" customFormat="1" ht="12.75">
      <c r="A229" s="1"/>
      <c r="B229" s="1"/>
      <c r="C229" s="1"/>
      <c r="D229" s="1"/>
    </row>
    <row r="230" spans="1:4" s="70" customFormat="1" ht="12.75">
      <c r="A230" s="1"/>
      <c r="B230" s="1"/>
      <c r="C230" s="1"/>
      <c r="D230" s="1"/>
    </row>
    <row r="231" spans="1:4" s="70" customFormat="1" ht="12.75">
      <c r="A231" s="1"/>
      <c r="B231" s="1"/>
      <c r="C231" s="1"/>
      <c r="D231" s="1"/>
    </row>
    <row r="232" spans="1:4" s="70" customFormat="1" ht="12.75">
      <c r="A232" s="1"/>
      <c r="B232" s="1"/>
      <c r="C232" s="1"/>
      <c r="D232" s="1"/>
    </row>
    <row r="233" spans="1:4" s="70" customFormat="1" ht="12.75">
      <c r="A233" s="1"/>
      <c r="B233" s="1"/>
      <c r="C233" s="1"/>
      <c r="D233" s="1"/>
    </row>
    <row r="234" spans="1:4" s="70" customFormat="1" ht="12.75">
      <c r="A234" s="1"/>
      <c r="B234" s="1"/>
      <c r="C234" s="1"/>
      <c r="D234" s="1"/>
    </row>
    <row r="235" spans="1:4" s="70" customFormat="1" ht="12.75">
      <c r="A235" s="1"/>
      <c r="B235" s="1"/>
      <c r="C235" s="1"/>
      <c r="D235" s="1"/>
    </row>
    <row r="236" spans="1:4" s="70" customFormat="1" ht="12.75">
      <c r="A236" s="1"/>
      <c r="B236" s="1"/>
      <c r="C236" s="1"/>
      <c r="D236" s="1"/>
    </row>
    <row r="237" spans="1:4" s="70" customFormat="1" ht="12.75">
      <c r="A237" s="1"/>
      <c r="B237" s="1"/>
      <c r="C237" s="1"/>
      <c r="D237" s="1"/>
    </row>
    <row r="238" spans="1:4" s="70" customFormat="1" ht="12.75">
      <c r="A238" s="1"/>
      <c r="B238" s="1"/>
      <c r="C238" s="1"/>
      <c r="D238" s="1"/>
    </row>
    <row r="239" spans="1:4" s="70" customFormat="1" ht="12.75">
      <c r="A239" s="1"/>
      <c r="B239" s="1"/>
      <c r="C239" s="1"/>
      <c r="D239" s="1"/>
    </row>
    <row r="240" spans="1:4" s="70" customFormat="1" ht="12.75">
      <c r="A240" s="1"/>
      <c r="B240" s="1"/>
      <c r="C240" s="1"/>
      <c r="D240" s="1"/>
    </row>
    <row r="241" spans="1:4" s="70" customFormat="1" ht="12.75">
      <c r="A241" s="1"/>
      <c r="B241" s="1"/>
      <c r="C241" s="1"/>
      <c r="D241" s="1"/>
    </row>
    <row r="242" spans="1:4" s="70" customFormat="1" ht="12.75">
      <c r="A242" s="1"/>
      <c r="B242" s="1"/>
      <c r="C242" s="1"/>
      <c r="D242" s="1"/>
    </row>
    <row r="243" spans="1:4" s="70" customFormat="1" ht="12.75">
      <c r="A243" s="1"/>
      <c r="B243" s="1"/>
      <c r="C243" s="1"/>
      <c r="D243" s="1"/>
    </row>
    <row r="244" spans="1:4" s="70" customFormat="1" ht="12.75">
      <c r="A244" s="1"/>
      <c r="B244" s="1"/>
      <c r="C244" s="1"/>
      <c r="D244" s="1"/>
    </row>
    <row r="245" spans="1:4" s="70" customFormat="1" ht="12.75">
      <c r="A245" s="1"/>
      <c r="B245" s="1"/>
      <c r="C245" s="1"/>
      <c r="D245" s="1"/>
    </row>
    <row r="246" spans="1:4" s="70" customFormat="1" ht="12.75">
      <c r="A246" s="1"/>
      <c r="B246" s="1"/>
      <c r="C246" s="1"/>
      <c r="D246" s="1"/>
    </row>
    <row r="247" spans="1:4" s="70" customFormat="1" ht="12.75">
      <c r="A247" s="1"/>
      <c r="B247" s="1"/>
      <c r="C247" s="1"/>
      <c r="D247" s="1"/>
    </row>
    <row r="248" spans="1:4" s="70" customFormat="1" ht="12.75">
      <c r="A248" s="1"/>
      <c r="B248" s="1"/>
      <c r="C248" s="1"/>
      <c r="D248" s="1"/>
    </row>
    <row r="249" spans="1:4" s="70" customFormat="1" ht="12.75">
      <c r="A249" s="1"/>
      <c r="B249" s="1"/>
      <c r="C249" s="1"/>
      <c r="D249" s="1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</sheetData>
  <printOptions horizontalCentered="1"/>
  <pageMargins left="0.7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B34" sqref="B34"/>
    </sheetView>
  </sheetViews>
  <sheetFormatPr defaultColWidth="9.140625" defaultRowHeight="12.75"/>
  <cols>
    <col min="1" max="2" width="2.7109375" style="104" customWidth="1"/>
    <col min="3" max="3" width="65.7109375" style="82" customWidth="1"/>
    <col min="4" max="4" width="14.7109375" style="112" customWidth="1"/>
    <col min="5" max="5" width="14.7109375" style="108" customWidth="1"/>
    <col min="6" max="16384" width="9.140625" style="82" customWidth="1"/>
  </cols>
  <sheetData>
    <row r="1" spans="1:5" ht="15">
      <c r="A1" s="5" t="s">
        <v>2795</v>
      </c>
      <c r="B1" s="79"/>
      <c r="C1" s="79"/>
      <c r="D1" s="80"/>
      <c r="E1" s="81"/>
    </row>
    <row r="2" spans="1:5" ht="15.75">
      <c r="A2" s="11" t="s">
        <v>2682</v>
      </c>
      <c r="B2" s="83"/>
      <c r="C2" s="83"/>
      <c r="D2" s="84"/>
      <c r="E2" s="85"/>
    </row>
    <row r="3" spans="1:5" ht="15.75">
      <c r="A3" s="11" t="s">
        <v>2778</v>
      </c>
      <c r="B3" s="83"/>
      <c r="C3" s="83"/>
      <c r="D3" s="84"/>
      <c r="E3" s="85"/>
    </row>
    <row r="4" spans="1:5" ht="12.75" customHeight="1">
      <c r="A4" s="86" t="s">
        <v>2796</v>
      </c>
      <c r="B4" s="83"/>
      <c r="C4" s="83"/>
      <c r="D4" s="84"/>
      <c r="E4" s="85"/>
    </row>
    <row r="5" spans="1:5" ht="15.75" customHeight="1">
      <c r="A5" s="87"/>
      <c r="B5" s="88"/>
      <c r="C5" s="88"/>
      <c r="D5" s="89">
        <v>2006</v>
      </c>
      <c r="E5" s="90">
        <v>2005</v>
      </c>
    </row>
    <row r="6" spans="1:5" s="96" customFormat="1" ht="12.75" customHeight="1">
      <c r="A6" s="91" t="s">
        <v>2856</v>
      </c>
      <c r="B6" s="92"/>
      <c r="C6" s="93"/>
      <c r="D6" s="94"/>
      <c r="E6" s="95"/>
    </row>
    <row r="7" spans="1:5" ht="12.75" customHeight="1">
      <c r="A7" s="97"/>
      <c r="B7" s="98" t="s">
        <v>2777</v>
      </c>
      <c r="C7" s="99"/>
      <c r="D7" s="100">
        <v>34257</v>
      </c>
      <c r="E7" s="115">
        <v>29982</v>
      </c>
    </row>
    <row r="8" spans="1:5" ht="12.75" customHeight="1">
      <c r="A8" s="97"/>
      <c r="B8" s="98" t="s">
        <v>2857</v>
      </c>
      <c r="C8" s="99"/>
      <c r="D8" s="101">
        <v>37270</v>
      </c>
      <c r="E8" s="116">
        <v>35033</v>
      </c>
    </row>
    <row r="9" spans="1:5" ht="12.75" customHeight="1">
      <c r="A9" s="97"/>
      <c r="B9" s="98" t="s">
        <v>2858</v>
      </c>
      <c r="C9" s="99"/>
      <c r="D9" s="101">
        <v>2908</v>
      </c>
      <c r="E9" s="116">
        <v>3103</v>
      </c>
    </row>
    <row r="10" spans="1:5" ht="12.75" customHeight="1">
      <c r="A10" s="97"/>
      <c r="B10" s="98" t="s">
        <v>2859</v>
      </c>
      <c r="C10" s="99"/>
      <c r="D10" s="101">
        <v>7727</v>
      </c>
      <c r="E10" s="116">
        <v>6720</v>
      </c>
    </row>
    <row r="11" spans="1:5" ht="12.75" customHeight="1">
      <c r="A11" s="97"/>
      <c r="B11" s="98" t="s">
        <v>2779</v>
      </c>
      <c r="C11" s="99"/>
      <c r="D11" s="101">
        <v>-32748</v>
      </c>
      <c r="E11" s="116">
        <v>-29597</v>
      </c>
    </row>
    <row r="12" spans="1:5" ht="12.75" customHeight="1">
      <c r="A12" s="97"/>
      <c r="B12" s="98" t="s">
        <v>2780</v>
      </c>
      <c r="C12" s="99"/>
      <c r="D12" s="101">
        <v>-73554</v>
      </c>
      <c r="E12" s="116">
        <v>-71739</v>
      </c>
    </row>
    <row r="13" spans="1:5" ht="12.75" customHeight="1">
      <c r="A13" s="97"/>
      <c r="B13" s="98" t="s">
        <v>2860</v>
      </c>
      <c r="C13" s="99"/>
      <c r="D13" s="101">
        <v>-17005</v>
      </c>
      <c r="E13" s="116">
        <v>-15401</v>
      </c>
    </row>
    <row r="14" spans="1:5" ht="12.75" customHeight="1">
      <c r="A14" s="97"/>
      <c r="B14" s="98" t="s">
        <v>2861</v>
      </c>
      <c r="C14" s="99"/>
      <c r="D14" s="101">
        <v>-4741</v>
      </c>
      <c r="E14" s="116">
        <v>-3330</v>
      </c>
    </row>
    <row r="15" spans="1:5" ht="12.75" customHeight="1">
      <c r="A15" s="97"/>
      <c r="B15" s="98" t="s">
        <v>2862</v>
      </c>
      <c r="C15" s="99"/>
      <c r="D15" s="101">
        <v>-2159</v>
      </c>
      <c r="E15" s="116">
        <v>-1950</v>
      </c>
    </row>
    <row r="16" spans="1:5" ht="12.75" customHeight="1">
      <c r="A16" s="97"/>
      <c r="B16" s="98" t="s">
        <v>2863</v>
      </c>
      <c r="C16" s="99"/>
      <c r="D16" s="101">
        <v>1661</v>
      </c>
      <c r="E16" s="116">
        <v>2340</v>
      </c>
    </row>
    <row r="17" spans="1:5" ht="12.75" customHeight="1">
      <c r="A17" s="97"/>
      <c r="B17" s="98" t="s">
        <v>2864</v>
      </c>
      <c r="C17" s="99"/>
      <c r="D17" s="101">
        <v>536</v>
      </c>
      <c r="E17" s="116">
        <v>213</v>
      </c>
    </row>
    <row r="18" spans="1:5" ht="12.75" customHeight="1">
      <c r="A18" s="97"/>
      <c r="B18" s="98" t="s">
        <v>2865</v>
      </c>
      <c r="C18" s="99"/>
      <c r="D18" s="101">
        <v>2194</v>
      </c>
      <c r="E18" s="116">
        <v>2006</v>
      </c>
    </row>
    <row r="19" spans="1:5" ht="12.75" customHeight="1">
      <c r="A19" s="97"/>
      <c r="B19" s="98"/>
      <c r="C19" s="99"/>
      <c r="D19" s="101"/>
      <c r="E19" s="116"/>
    </row>
    <row r="20" spans="1:5" s="96" customFormat="1" ht="12.75" customHeight="1">
      <c r="A20" s="91"/>
      <c r="B20" s="92"/>
      <c r="C20" s="93" t="s">
        <v>2866</v>
      </c>
      <c r="D20" s="102">
        <f>SUM(D7:D18)</f>
        <v>-43654</v>
      </c>
      <c r="E20" s="117">
        <f>SUM(E7:E18)</f>
        <v>-42620</v>
      </c>
    </row>
    <row r="21" spans="1:5" ht="12.75" customHeight="1">
      <c r="A21" s="97"/>
      <c r="B21" s="98"/>
      <c r="C21" s="99"/>
      <c r="D21" s="101"/>
      <c r="E21" s="116"/>
    </row>
    <row r="22" spans="1:5" s="96" customFormat="1" ht="12.75" customHeight="1">
      <c r="A22" s="91" t="s">
        <v>2881</v>
      </c>
      <c r="B22" s="92"/>
      <c r="C22" s="93"/>
      <c r="D22" s="101"/>
      <c r="E22" s="116"/>
    </row>
    <row r="23" spans="1:5" ht="12.75" customHeight="1">
      <c r="A23" s="97"/>
      <c r="B23" s="98" t="s">
        <v>2882</v>
      </c>
      <c r="C23" s="99"/>
      <c r="D23" s="101">
        <v>45130</v>
      </c>
      <c r="E23" s="116">
        <v>44842</v>
      </c>
    </row>
    <row r="24" spans="1:5" ht="12.75" customHeight="1">
      <c r="A24" s="97"/>
      <c r="B24" s="98" t="s">
        <v>2843</v>
      </c>
      <c r="C24" s="99"/>
      <c r="D24" s="101">
        <v>0</v>
      </c>
      <c r="E24" s="116">
        <v>0</v>
      </c>
    </row>
    <row r="25" spans="1:5" ht="12.75" customHeight="1">
      <c r="A25" s="97"/>
      <c r="B25" s="98" t="s">
        <v>2883</v>
      </c>
      <c r="C25" s="99"/>
      <c r="D25" s="101">
        <v>4578</v>
      </c>
      <c r="E25" s="116">
        <v>7034</v>
      </c>
    </row>
    <row r="26" spans="1:5" ht="12.75" customHeight="1">
      <c r="A26" s="97"/>
      <c r="B26" s="98" t="s">
        <v>2884</v>
      </c>
      <c r="C26" s="99"/>
      <c r="D26" s="101">
        <v>4257</v>
      </c>
      <c r="E26" s="116">
        <v>-694</v>
      </c>
    </row>
    <row r="27" spans="1:5" ht="12.75" customHeight="1">
      <c r="A27" s="97"/>
      <c r="B27" s="98" t="s">
        <v>2885</v>
      </c>
      <c r="C27" s="99"/>
      <c r="D27" s="101">
        <v>-129</v>
      </c>
      <c r="E27" s="116">
        <v>-147</v>
      </c>
    </row>
    <row r="28" spans="1:5" ht="12.75" customHeight="1">
      <c r="A28" s="97"/>
      <c r="B28" s="98"/>
      <c r="C28" s="99"/>
      <c r="D28" s="101"/>
      <c r="E28" s="116"/>
    </row>
    <row r="29" spans="1:5" s="96" customFormat="1" ht="12.75" customHeight="1">
      <c r="A29" s="91"/>
      <c r="B29" s="92"/>
      <c r="C29" s="93" t="s">
        <v>2886</v>
      </c>
      <c r="D29" s="102">
        <f>SUM(D23:D27)</f>
        <v>53836</v>
      </c>
      <c r="E29" s="117">
        <f>SUM(E23:E27)</f>
        <v>51035</v>
      </c>
    </row>
    <row r="30" spans="1:5" ht="12.75" customHeight="1">
      <c r="A30" s="97"/>
      <c r="B30" s="98"/>
      <c r="C30" s="99"/>
      <c r="D30" s="101"/>
      <c r="E30" s="116"/>
    </row>
    <row r="31" spans="1:5" s="96" customFormat="1" ht="12.75" customHeight="1">
      <c r="A31" s="91" t="s">
        <v>2871</v>
      </c>
      <c r="B31" s="92"/>
      <c r="C31" s="93"/>
      <c r="D31" s="101"/>
      <c r="E31" s="116"/>
    </row>
    <row r="32" spans="1:5" ht="12.75" customHeight="1">
      <c r="A32" s="97"/>
      <c r="B32" s="98" t="s">
        <v>2872</v>
      </c>
      <c r="C32" s="99"/>
      <c r="D32" s="101">
        <v>0</v>
      </c>
      <c r="E32" s="116">
        <v>0</v>
      </c>
    </row>
    <row r="33" spans="1:5" ht="12.75" customHeight="1">
      <c r="A33" s="97"/>
      <c r="B33" s="98" t="s">
        <v>2845</v>
      </c>
      <c r="C33" s="99"/>
      <c r="D33" s="101">
        <v>5343</v>
      </c>
      <c r="E33" s="116">
        <v>4044</v>
      </c>
    </row>
    <row r="34" spans="1:5" ht="12.75" customHeight="1">
      <c r="A34" s="97"/>
      <c r="B34" s="98" t="s">
        <v>2849</v>
      </c>
      <c r="C34" s="99"/>
      <c r="D34" s="101">
        <v>1953</v>
      </c>
      <c r="E34" s="116">
        <v>3522</v>
      </c>
    </row>
    <row r="35" spans="1:5" ht="12.75" customHeight="1">
      <c r="A35" s="97"/>
      <c r="B35" s="98" t="s">
        <v>2873</v>
      </c>
      <c r="C35" s="99"/>
      <c r="D35" s="101">
        <v>0</v>
      </c>
      <c r="E35" s="116">
        <v>0</v>
      </c>
    </row>
    <row r="36" spans="1:5" ht="12.75" customHeight="1">
      <c r="A36" s="97"/>
      <c r="B36" s="98" t="s">
        <v>2874</v>
      </c>
      <c r="C36" s="99"/>
      <c r="D36" s="101">
        <v>-16097</v>
      </c>
      <c r="E36" s="116">
        <v>-24732</v>
      </c>
    </row>
    <row r="37" spans="1:5" ht="12.75" customHeight="1">
      <c r="A37" s="97"/>
      <c r="B37" s="98" t="s">
        <v>2875</v>
      </c>
      <c r="C37" s="99"/>
      <c r="D37" s="101">
        <v>0</v>
      </c>
      <c r="E37" s="116">
        <v>0</v>
      </c>
    </row>
    <row r="38" spans="1:5" ht="12.75" customHeight="1">
      <c r="A38" s="97"/>
      <c r="B38" s="98" t="s">
        <v>2876</v>
      </c>
      <c r="C38" s="99"/>
      <c r="D38" s="101">
        <v>-638</v>
      </c>
      <c r="E38" s="116">
        <v>-437</v>
      </c>
    </row>
    <row r="39" spans="1:5" ht="12.75" customHeight="1">
      <c r="A39" s="97"/>
      <c r="B39" s="98" t="s">
        <v>2877</v>
      </c>
      <c r="C39" s="99"/>
      <c r="D39" s="101">
        <v>0</v>
      </c>
      <c r="E39" s="116">
        <v>0</v>
      </c>
    </row>
    <row r="40" spans="1:5" ht="12.75" customHeight="1">
      <c r="A40" s="97"/>
      <c r="B40" s="98" t="s">
        <v>2878</v>
      </c>
      <c r="C40" s="99"/>
      <c r="D40" s="101">
        <v>0</v>
      </c>
      <c r="E40" s="116">
        <v>0</v>
      </c>
    </row>
    <row r="41" spans="1:5" ht="12.75" customHeight="1">
      <c r="A41" s="97"/>
      <c r="B41" s="98" t="s">
        <v>2879</v>
      </c>
      <c r="C41" s="99"/>
      <c r="D41" s="101">
        <v>-1505</v>
      </c>
      <c r="E41" s="116">
        <v>-430</v>
      </c>
    </row>
    <row r="42" spans="1:5" ht="12.75" customHeight="1">
      <c r="A42" s="97"/>
      <c r="B42" s="98"/>
      <c r="C42" s="99"/>
      <c r="D42" s="101"/>
      <c r="E42" s="116"/>
    </row>
    <row r="43" spans="1:5" s="96" customFormat="1" ht="12.75" customHeight="1">
      <c r="A43" s="91"/>
      <c r="B43" s="92"/>
      <c r="C43" s="93" t="s">
        <v>2880</v>
      </c>
      <c r="D43" s="102">
        <f>SUM(D32:D41)</f>
        <v>-10944</v>
      </c>
      <c r="E43" s="117">
        <f>SUM(E32:E41)</f>
        <v>-18033</v>
      </c>
    </row>
    <row r="44" spans="1:5" ht="12.75" customHeight="1">
      <c r="A44" s="97"/>
      <c r="B44" s="98"/>
      <c r="C44" s="99"/>
      <c r="D44" s="101"/>
      <c r="E44" s="116"/>
    </row>
    <row r="45" spans="1:5" s="96" customFormat="1" ht="12.75" customHeight="1">
      <c r="A45" s="91" t="s">
        <v>2867</v>
      </c>
      <c r="B45" s="92"/>
      <c r="C45" s="93"/>
      <c r="D45" s="101"/>
      <c r="E45" s="116"/>
    </row>
    <row r="46" spans="1:5" ht="12.75" customHeight="1">
      <c r="A46" s="97"/>
      <c r="B46" s="98" t="s">
        <v>2868</v>
      </c>
      <c r="C46" s="99"/>
      <c r="D46" s="101">
        <v>10692</v>
      </c>
      <c r="E46" s="116">
        <v>7968</v>
      </c>
    </row>
    <row r="47" spans="1:5" ht="12.75" customHeight="1">
      <c r="A47" s="97"/>
      <c r="B47" s="98" t="s">
        <v>2869</v>
      </c>
      <c r="C47" s="99"/>
      <c r="D47" s="101">
        <v>-8061</v>
      </c>
      <c r="E47" s="116">
        <v>10451</v>
      </c>
    </row>
    <row r="48" spans="1:5" ht="12.75" customHeight="1">
      <c r="A48" s="97"/>
      <c r="B48" s="98"/>
      <c r="C48" s="99"/>
      <c r="D48" s="101"/>
      <c r="E48" s="116"/>
    </row>
    <row r="49" spans="1:5" s="96" customFormat="1" ht="12.75" customHeight="1">
      <c r="A49" s="91"/>
      <c r="B49" s="92"/>
      <c r="C49" s="93" t="s">
        <v>2870</v>
      </c>
      <c r="D49" s="102">
        <f>SUM(D46:D47)</f>
        <v>2631</v>
      </c>
      <c r="E49" s="117">
        <f>SUM(E46:E47)</f>
        <v>18419</v>
      </c>
    </row>
    <row r="50" spans="1:5" ht="12.75" customHeight="1">
      <c r="A50" s="97"/>
      <c r="B50" s="98"/>
      <c r="C50" s="99"/>
      <c r="D50" s="101"/>
      <c r="E50" s="116"/>
    </row>
    <row r="51" spans="1:5" s="96" customFormat="1" ht="12.75" customHeight="1">
      <c r="A51" s="91" t="s">
        <v>2887</v>
      </c>
      <c r="C51" s="93"/>
      <c r="D51" s="102">
        <f>D20+D49+D43+D29</f>
        <v>1869</v>
      </c>
      <c r="E51" s="117">
        <f>E20+E49+E43+E29</f>
        <v>8801</v>
      </c>
    </row>
    <row r="52" spans="1:5" ht="12.75" customHeight="1">
      <c r="A52" s="97"/>
      <c r="B52" s="98"/>
      <c r="C52" s="99"/>
      <c r="D52" s="101"/>
      <c r="E52" s="116"/>
    </row>
    <row r="53" spans="1:5" s="96" customFormat="1" ht="12.75" customHeight="1">
      <c r="A53" s="91" t="s">
        <v>2888</v>
      </c>
      <c r="B53" s="92"/>
      <c r="C53" s="93"/>
      <c r="D53" s="102">
        <f>E55</f>
        <v>23985</v>
      </c>
      <c r="E53" s="117">
        <v>15184</v>
      </c>
    </row>
    <row r="54" spans="1:5" ht="12.75" customHeight="1">
      <c r="A54" s="97"/>
      <c r="B54" s="98"/>
      <c r="C54" s="99"/>
      <c r="D54" s="101"/>
      <c r="E54" s="116"/>
    </row>
    <row r="55" spans="1:5" s="96" customFormat="1" ht="12.75" customHeight="1">
      <c r="A55" s="91" t="s">
        <v>2889</v>
      </c>
      <c r="B55" s="92"/>
      <c r="C55" s="93"/>
      <c r="D55" s="103">
        <f>D51+D53</f>
        <v>25854</v>
      </c>
      <c r="E55" s="118">
        <f>E51+E53</f>
        <v>23985</v>
      </c>
    </row>
    <row r="56" spans="4:5" ht="12.75">
      <c r="D56" s="105"/>
      <c r="E56" s="106"/>
    </row>
    <row r="57" ht="6" customHeight="1" hidden="1">
      <c r="D57" s="107"/>
    </row>
    <row r="58" spans="1:4" ht="12.75" hidden="1">
      <c r="A58" s="109" t="s">
        <v>2890</v>
      </c>
      <c r="D58" s="107"/>
    </row>
    <row r="59" spans="2:4" ht="12.75" hidden="1">
      <c r="B59" s="109" t="s">
        <v>2891</v>
      </c>
      <c r="D59" s="107"/>
    </row>
    <row r="60" spans="2:4" ht="12.75" hidden="1">
      <c r="B60" s="104" t="s">
        <v>2892</v>
      </c>
      <c r="D60" s="105"/>
    </row>
    <row r="61" spans="2:4" ht="12.75" hidden="1">
      <c r="B61" s="104" t="s">
        <v>2893</v>
      </c>
      <c r="D61" s="107"/>
    </row>
    <row r="62" spans="3:4" ht="12.75" hidden="1">
      <c r="C62" s="82" t="s">
        <v>2891</v>
      </c>
      <c r="D62" s="107"/>
    </row>
    <row r="63" spans="3:4" ht="12.75" hidden="1">
      <c r="C63" s="82" t="s">
        <v>2894</v>
      </c>
      <c r="D63" s="107"/>
    </row>
    <row r="64" spans="3:4" ht="12.75" hidden="1">
      <c r="C64" s="82" t="s">
        <v>2895</v>
      </c>
      <c r="D64" s="107"/>
    </row>
    <row r="65" spans="3:4" ht="12.75" hidden="1">
      <c r="C65" s="82" t="s">
        <v>2896</v>
      </c>
      <c r="D65" s="107"/>
    </row>
    <row r="66" spans="3:4" ht="12.75" hidden="1">
      <c r="C66" s="82" t="s">
        <v>2897</v>
      </c>
      <c r="D66" s="107"/>
    </row>
    <row r="67" spans="3:4" ht="12.75" hidden="1">
      <c r="C67" s="82" t="s">
        <v>2898</v>
      </c>
      <c r="D67" s="107"/>
    </row>
    <row r="68" spans="3:4" ht="12.75" hidden="1">
      <c r="C68" s="82" t="s">
        <v>2899</v>
      </c>
      <c r="D68" s="107"/>
    </row>
    <row r="69" spans="3:4" ht="12.75" hidden="1">
      <c r="C69" s="82" t="s">
        <v>2900</v>
      </c>
      <c r="D69" s="107"/>
    </row>
    <row r="70" spans="1:5" s="45" customFormat="1" ht="12.75" hidden="1">
      <c r="A70" s="1"/>
      <c r="B70" s="1"/>
      <c r="C70" s="2" t="s">
        <v>2901</v>
      </c>
      <c r="D70" s="110"/>
      <c r="E70" s="111"/>
    </row>
    <row r="71" ht="6" customHeight="1" hidden="1"/>
    <row r="72" spans="1:5" s="96" customFormat="1" ht="13.5" hidden="1" thickBot="1">
      <c r="A72" s="109"/>
      <c r="B72" s="109"/>
      <c r="C72" s="96" t="s">
        <v>2902</v>
      </c>
      <c r="D72" s="113">
        <f>SUM(D60:D70)</f>
        <v>0</v>
      </c>
      <c r="E72" s="114"/>
    </row>
    <row r="73" ht="12.75">
      <c r="A73" s="48"/>
    </row>
    <row r="77" ht="12.75">
      <c r="A77" s="1"/>
    </row>
  </sheetData>
  <printOptions horizontalCentered="1"/>
  <pageMargins left="0.75" right="0.5" top="0.5" bottom="0.5" header="0.5" footer="0.5"/>
  <pageSetup firstPageNumber="15" useFirstPageNumber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4"/>
  <sheetViews>
    <sheetView zoomScale="85" zoomScaleNormal="85" workbookViewId="0" topLeftCell="B88">
      <selection activeCell="X2" sqref="X1:Y16384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1" customWidth="1"/>
    <col min="3" max="3" width="45.7109375" style="2" customWidth="1"/>
    <col min="4" max="4" width="7.140625" style="1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119" customWidth="1"/>
    <col min="24" max="24" width="16.7109375" style="2" hidden="1" customWidth="1"/>
    <col min="25" max="25" width="16.7109375" style="120" hidden="1" customWidth="1"/>
    <col min="26" max="29" width="0" style="120" hidden="1" customWidth="1"/>
    <col min="30" max="16384" width="9.140625" style="120" customWidth="1"/>
  </cols>
  <sheetData>
    <row r="1" spans="1:25" ht="12.75" hidden="1">
      <c r="A1" s="2" t="s">
        <v>99</v>
      </c>
      <c r="B1" s="1" t="s">
        <v>2792</v>
      </c>
      <c r="C1" s="2" t="s">
        <v>2793</v>
      </c>
      <c r="D1" s="1" t="s">
        <v>100</v>
      </c>
      <c r="E1" s="2" t="s">
        <v>101</v>
      </c>
      <c r="F1" s="2" t="s">
        <v>102</v>
      </c>
      <c r="G1" s="2" t="s">
        <v>2794</v>
      </c>
      <c r="H1" s="2" t="s">
        <v>103</v>
      </c>
      <c r="I1" s="2" t="s">
        <v>104</v>
      </c>
      <c r="J1" s="2" t="s">
        <v>105</v>
      </c>
      <c r="K1" s="2" t="s">
        <v>106</v>
      </c>
      <c r="L1" s="2" t="s">
        <v>2794</v>
      </c>
      <c r="M1" s="2" t="s">
        <v>107</v>
      </c>
      <c r="N1" s="2" t="s">
        <v>108</v>
      </c>
      <c r="O1" s="2" t="s">
        <v>109</v>
      </c>
      <c r="P1" s="2" t="s">
        <v>2794</v>
      </c>
      <c r="Q1" s="2" t="s">
        <v>110</v>
      </c>
      <c r="R1" s="2" t="s">
        <v>111</v>
      </c>
      <c r="S1" s="2" t="s">
        <v>112</v>
      </c>
      <c r="T1" s="2" t="s">
        <v>113</v>
      </c>
      <c r="U1" s="2" t="s">
        <v>2794</v>
      </c>
      <c r="V1" s="2" t="s">
        <v>114</v>
      </c>
      <c r="W1" s="119" t="s">
        <v>2794</v>
      </c>
      <c r="X1" s="2" t="s">
        <v>115</v>
      </c>
      <c r="Y1" s="120" t="s">
        <v>2794</v>
      </c>
    </row>
    <row r="2" spans="1:25" s="126" customFormat="1" ht="15.75" customHeight="1">
      <c r="A2" s="121"/>
      <c r="B2" s="49" t="str">
        <f>"University of Missouri - "&amp;RBN</f>
        <v>University of Missouri - Rolla</v>
      </c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3"/>
      <c r="Y2" s="125"/>
    </row>
    <row r="3" spans="1:25" s="130" customFormat="1" ht="15.75" customHeight="1">
      <c r="A3" s="127"/>
      <c r="B3" s="54" t="s">
        <v>116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28"/>
      <c r="X3" s="13"/>
      <c r="Y3" s="129"/>
    </row>
    <row r="4" spans="1:29" ht="15.75" customHeight="1">
      <c r="A4" s="131"/>
      <c r="B4" s="132" t="str">
        <f>"  As of "&amp;TEXT(Z4,"MMMM DD, YYY")</f>
        <v>  As of June 30, 2006</v>
      </c>
      <c r="C4" s="16"/>
      <c r="D4" s="16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33"/>
      <c r="Y4" s="135"/>
      <c r="Z4" s="136" t="s">
        <v>117</v>
      </c>
      <c r="AC4" s="137" t="s">
        <v>118</v>
      </c>
    </row>
    <row r="5" spans="1:26" ht="12.75" customHeight="1">
      <c r="A5" s="131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  <c r="X5" s="140"/>
      <c r="Y5" s="142"/>
      <c r="Z5" s="2"/>
    </row>
    <row r="6" spans="1:25" ht="12.75">
      <c r="A6" s="22"/>
      <c r="B6" s="143"/>
      <c r="C6" s="144"/>
      <c r="D6" s="145"/>
      <c r="E6" s="27"/>
      <c r="F6" s="27"/>
      <c r="G6" s="143"/>
      <c r="H6" s="145"/>
      <c r="I6" s="146"/>
      <c r="J6" s="146"/>
      <c r="K6" s="147"/>
      <c r="L6" s="147"/>
      <c r="M6" s="146" t="s">
        <v>2915</v>
      </c>
      <c r="N6" s="146" t="s">
        <v>119</v>
      </c>
      <c r="O6" s="146" t="s">
        <v>120</v>
      </c>
      <c r="P6" s="147"/>
      <c r="Q6" s="148" t="s">
        <v>121</v>
      </c>
      <c r="R6" s="149"/>
      <c r="S6" s="149"/>
      <c r="T6" s="149"/>
      <c r="U6" s="150"/>
      <c r="V6" s="151"/>
      <c r="W6" s="147" t="s">
        <v>122</v>
      </c>
      <c r="X6" s="151"/>
      <c r="Y6" s="147" t="s">
        <v>122</v>
      </c>
    </row>
    <row r="7" spans="1:25" ht="12.75">
      <c r="A7" s="22"/>
      <c r="B7" s="152"/>
      <c r="C7" s="29"/>
      <c r="D7" s="153"/>
      <c r="E7" s="27"/>
      <c r="F7" s="27"/>
      <c r="G7" s="152"/>
      <c r="H7" s="153"/>
      <c r="I7" s="146" t="s">
        <v>2915</v>
      </c>
      <c r="J7" s="146" t="s">
        <v>119</v>
      </c>
      <c r="K7" s="146" t="s">
        <v>120</v>
      </c>
      <c r="L7" s="154"/>
      <c r="M7" s="146" t="s">
        <v>123</v>
      </c>
      <c r="N7" s="146" t="s">
        <v>123</v>
      </c>
      <c r="O7" s="146" t="s">
        <v>123</v>
      </c>
      <c r="P7" s="154" t="s">
        <v>123</v>
      </c>
      <c r="Q7" s="146" t="s">
        <v>2915</v>
      </c>
      <c r="R7" s="146" t="s">
        <v>124</v>
      </c>
      <c r="S7" s="155"/>
      <c r="T7" s="155"/>
      <c r="U7" s="154"/>
      <c r="V7" s="156"/>
      <c r="W7" s="154" t="s">
        <v>125</v>
      </c>
      <c r="X7" s="156"/>
      <c r="Y7" s="154" t="s">
        <v>125</v>
      </c>
    </row>
    <row r="8" spans="1:25" ht="12.75">
      <c r="A8" s="22"/>
      <c r="B8" s="152"/>
      <c r="C8" s="29"/>
      <c r="D8" s="153"/>
      <c r="E8" s="157"/>
      <c r="F8" s="157"/>
      <c r="G8" s="158" t="s">
        <v>126</v>
      </c>
      <c r="H8" s="158"/>
      <c r="I8" s="146" t="s">
        <v>127</v>
      </c>
      <c r="J8" s="146" t="s">
        <v>127</v>
      </c>
      <c r="K8" s="146" t="s">
        <v>127</v>
      </c>
      <c r="L8" s="154" t="s">
        <v>127</v>
      </c>
      <c r="M8" s="146" t="s">
        <v>128</v>
      </c>
      <c r="N8" s="146" t="s">
        <v>128</v>
      </c>
      <c r="O8" s="146" t="s">
        <v>128</v>
      </c>
      <c r="P8" s="154" t="s">
        <v>128</v>
      </c>
      <c r="Q8" s="146" t="s">
        <v>129</v>
      </c>
      <c r="R8" s="146" t="s">
        <v>129</v>
      </c>
      <c r="S8" s="146" t="s">
        <v>130</v>
      </c>
      <c r="T8" s="146" t="s">
        <v>131</v>
      </c>
      <c r="U8" s="154" t="s">
        <v>132</v>
      </c>
      <c r="V8" s="156"/>
      <c r="W8" s="154" t="s">
        <v>133</v>
      </c>
      <c r="X8" s="154" t="s">
        <v>134</v>
      </c>
      <c r="Y8" s="154" t="s">
        <v>135</v>
      </c>
    </row>
    <row r="9" spans="1:25" ht="12.75">
      <c r="A9" s="22"/>
      <c r="B9" s="159"/>
      <c r="C9" s="160"/>
      <c r="D9" s="161"/>
      <c r="E9" s="146" t="s">
        <v>2915</v>
      </c>
      <c r="F9" s="146" t="s">
        <v>136</v>
      </c>
      <c r="G9" s="146" t="s">
        <v>2915</v>
      </c>
      <c r="H9" s="146" t="s">
        <v>119</v>
      </c>
      <c r="I9" s="146" t="s">
        <v>125</v>
      </c>
      <c r="J9" s="146" t="s">
        <v>125</v>
      </c>
      <c r="K9" s="146" t="s">
        <v>125</v>
      </c>
      <c r="L9" s="162" t="s">
        <v>125</v>
      </c>
      <c r="M9" s="146" t="s">
        <v>125</v>
      </c>
      <c r="N9" s="146" t="s">
        <v>125</v>
      </c>
      <c r="O9" s="146" t="s">
        <v>125</v>
      </c>
      <c r="P9" s="162" t="s">
        <v>125</v>
      </c>
      <c r="Q9" s="146" t="s">
        <v>137</v>
      </c>
      <c r="R9" s="146" t="s">
        <v>137</v>
      </c>
      <c r="S9" s="146" t="s">
        <v>134</v>
      </c>
      <c r="T9" s="146" t="s">
        <v>138</v>
      </c>
      <c r="U9" s="162" t="s">
        <v>125</v>
      </c>
      <c r="V9" s="162" t="s">
        <v>139</v>
      </c>
      <c r="W9" s="162" t="s">
        <v>134</v>
      </c>
      <c r="X9" s="162" t="s">
        <v>125</v>
      </c>
      <c r="Y9" s="162" t="s">
        <v>134</v>
      </c>
    </row>
    <row r="10" spans="1:25" ht="12.75" customHeight="1">
      <c r="A10" s="22"/>
      <c r="B10" s="23"/>
      <c r="C10" s="163"/>
      <c r="D10" s="24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57"/>
    </row>
    <row r="11" spans="1:25" ht="12.75" customHeight="1">
      <c r="A11" s="29"/>
      <c r="B11" s="23" t="s">
        <v>2797</v>
      </c>
      <c r="C11" s="163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46"/>
      <c r="X11" s="27"/>
      <c r="Y11" s="157"/>
    </row>
    <row r="12" spans="1:25" ht="12.75" customHeight="1">
      <c r="A12" s="1"/>
      <c r="B12" s="30"/>
      <c r="C12" s="164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65"/>
      <c r="X12" s="32"/>
      <c r="Y12" s="157"/>
    </row>
    <row r="13" spans="1:25" ht="12.75" customHeight="1">
      <c r="A13" s="29"/>
      <c r="B13" s="23" t="s">
        <v>2798</v>
      </c>
      <c r="C13" s="163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46"/>
      <c r="X13" s="27"/>
      <c r="Y13" s="157"/>
    </row>
    <row r="14" spans="1:25" ht="12.75" customHeight="1">
      <c r="A14" s="164" t="s">
        <v>140</v>
      </c>
      <c r="B14" s="30"/>
      <c r="C14" s="164" t="s">
        <v>2799</v>
      </c>
      <c r="D14" s="31"/>
      <c r="E14" s="32">
        <v>0</v>
      </c>
      <c r="F14" s="32">
        <v>0</v>
      </c>
      <c r="G14" s="34">
        <f aca="true" t="shared" si="0" ref="G14:G49"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 aca="true" t="shared" si="1" ref="L14:L49">I14+J14+K14</f>
        <v>0</v>
      </c>
      <c r="M14" s="34">
        <v>0</v>
      </c>
      <c r="N14" s="34">
        <v>0</v>
      </c>
      <c r="O14" s="34">
        <v>0</v>
      </c>
      <c r="P14" s="34">
        <f aca="true" t="shared" si="2" ref="P14:P49"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 aca="true" t="shared" si="3" ref="U14:U49">Q14+R14+S14+T14</f>
        <v>0</v>
      </c>
      <c r="V14" s="34">
        <v>0</v>
      </c>
      <c r="W14" s="166">
        <f aca="true" t="shared" si="4" ref="W14:W49">G14+H14+L14+P14+U14+V14</f>
        <v>0</v>
      </c>
      <c r="X14" s="34">
        <v>0</v>
      </c>
      <c r="Y14" s="167">
        <f aca="true" t="shared" si="5" ref="Y14:Y49">W14+X14</f>
        <v>0</v>
      </c>
    </row>
    <row r="15" spans="1:25" ht="12.75" hidden="1" outlineLevel="1">
      <c r="A15" s="2" t="s">
        <v>141</v>
      </c>
      <c r="C15" s="2" t="s">
        <v>142</v>
      </c>
      <c r="D15" s="1" t="s">
        <v>143</v>
      </c>
      <c r="E15" s="2">
        <v>16637.48</v>
      </c>
      <c r="F15" s="2">
        <v>0</v>
      </c>
      <c r="G15" s="2">
        <f t="shared" si="0"/>
        <v>16637.48</v>
      </c>
      <c r="H15" s="2">
        <v>-200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3"/>
        <v>0</v>
      </c>
      <c r="V15" s="2">
        <v>0</v>
      </c>
      <c r="W15" s="119">
        <f t="shared" si="4"/>
        <v>16437.48</v>
      </c>
      <c r="X15" s="2">
        <v>0</v>
      </c>
      <c r="Y15" s="168">
        <f t="shared" si="5"/>
        <v>16437.48</v>
      </c>
    </row>
    <row r="16" spans="1:25" ht="12.75" hidden="1" outlineLevel="1">
      <c r="A16" s="2" t="s">
        <v>144</v>
      </c>
      <c r="C16" s="2" t="s">
        <v>145</v>
      </c>
      <c r="D16" s="1" t="s">
        <v>146</v>
      </c>
      <c r="E16" s="2">
        <v>100</v>
      </c>
      <c r="F16" s="2">
        <v>0</v>
      </c>
      <c r="G16" s="2">
        <f t="shared" si="0"/>
        <v>100</v>
      </c>
      <c r="H16" s="2">
        <v>0</v>
      </c>
      <c r="I16" s="2">
        <v>0</v>
      </c>
      <c r="J16" s="2">
        <v>0</v>
      </c>
      <c r="K16" s="2">
        <v>0</v>
      </c>
      <c r="L16" s="2">
        <f t="shared" si="1"/>
        <v>0</v>
      </c>
      <c r="M16" s="2">
        <v>0</v>
      </c>
      <c r="N16" s="2">
        <v>0</v>
      </c>
      <c r="O16" s="2">
        <v>0</v>
      </c>
      <c r="P16" s="2">
        <f t="shared" si="2"/>
        <v>0</v>
      </c>
      <c r="Q16" s="2">
        <v>0</v>
      </c>
      <c r="R16" s="2">
        <v>0</v>
      </c>
      <c r="S16" s="2">
        <v>0</v>
      </c>
      <c r="T16" s="2">
        <v>0</v>
      </c>
      <c r="U16" s="2">
        <f t="shared" si="3"/>
        <v>0</v>
      </c>
      <c r="V16" s="2">
        <v>0</v>
      </c>
      <c r="W16" s="119">
        <f t="shared" si="4"/>
        <v>100</v>
      </c>
      <c r="X16" s="2">
        <v>0</v>
      </c>
      <c r="Y16" s="168">
        <f t="shared" si="5"/>
        <v>100</v>
      </c>
    </row>
    <row r="17" spans="1:25" ht="12.75" hidden="1" outlineLevel="1">
      <c r="A17" s="2" t="s">
        <v>147</v>
      </c>
      <c r="C17" s="2" t="s">
        <v>148</v>
      </c>
      <c r="D17" s="1" t="s">
        <v>149</v>
      </c>
      <c r="E17" s="2">
        <v>9338982.79</v>
      </c>
      <c r="F17" s="2">
        <v>0</v>
      </c>
      <c r="G17" s="2">
        <f t="shared" si="0"/>
        <v>9338982.79</v>
      </c>
      <c r="H17" s="2">
        <v>0</v>
      </c>
      <c r="I17" s="2">
        <v>0</v>
      </c>
      <c r="J17" s="2">
        <v>0</v>
      </c>
      <c r="K17" s="2">
        <v>324404.35</v>
      </c>
      <c r="L17" s="2">
        <f t="shared" si="1"/>
        <v>324404.35</v>
      </c>
      <c r="M17" s="2">
        <v>0</v>
      </c>
      <c r="N17" s="2">
        <v>67397.57</v>
      </c>
      <c r="O17" s="2">
        <v>0</v>
      </c>
      <c r="P17" s="2">
        <f t="shared" si="2"/>
        <v>67397.57</v>
      </c>
      <c r="Q17" s="2">
        <v>1887903.56</v>
      </c>
      <c r="R17" s="2">
        <v>346500.56</v>
      </c>
      <c r="S17" s="2">
        <v>0</v>
      </c>
      <c r="T17" s="2">
        <v>0</v>
      </c>
      <c r="U17" s="2">
        <f t="shared" si="3"/>
        <v>2234404.12</v>
      </c>
      <c r="V17" s="2">
        <v>-24800.07</v>
      </c>
      <c r="W17" s="119">
        <f t="shared" si="4"/>
        <v>11940388.759999998</v>
      </c>
      <c r="X17" s="2">
        <v>0</v>
      </c>
      <c r="Y17" s="168">
        <f t="shared" si="5"/>
        <v>11940388.759999998</v>
      </c>
    </row>
    <row r="18" spans="1:25" ht="12.75" hidden="1" outlineLevel="1">
      <c r="A18" s="2" t="s">
        <v>150</v>
      </c>
      <c r="C18" s="2" t="s">
        <v>151</v>
      </c>
      <c r="D18" s="1" t="s">
        <v>152</v>
      </c>
      <c r="E18" s="2">
        <v>6261.38</v>
      </c>
      <c r="F18" s="2">
        <v>-160.11</v>
      </c>
      <c r="G18" s="2">
        <f t="shared" si="0"/>
        <v>6101.27</v>
      </c>
      <c r="H18" s="2">
        <v>104611.43</v>
      </c>
      <c r="I18" s="2">
        <v>0</v>
      </c>
      <c r="J18" s="2">
        <v>0</v>
      </c>
      <c r="K18" s="2">
        <v>0</v>
      </c>
      <c r="L18" s="2">
        <f t="shared" si="1"/>
        <v>0</v>
      </c>
      <c r="M18" s="2">
        <v>0</v>
      </c>
      <c r="N18" s="2">
        <v>0</v>
      </c>
      <c r="O18" s="2">
        <v>822.71</v>
      </c>
      <c r="P18" s="2">
        <f t="shared" si="2"/>
        <v>822.71</v>
      </c>
      <c r="Q18" s="2">
        <v>0</v>
      </c>
      <c r="R18" s="2">
        <v>56057.66</v>
      </c>
      <c r="S18" s="2">
        <v>0</v>
      </c>
      <c r="T18" s="2">
        <v>0</v>
      </c>
      <c r="U18" s="2">
        <f t="shared" si="3"/>
        <v>56057.66</v>
      </c>
      <c r="V18" s="2">
        <v>3208.41</v>
      </c>
      <c r="W18" s="119">
        <f t="shared" si="4"/>
        <v>170801.48</v>
      </c>
      <c r="X18" s="2">
        <v>0</v>
      </c>
      <c r="Y18" s="168">
        <f t="shared" si="5"/>
        <v>170801.48</v>
      </c>
    </row>
    <row r="19" spans="1:25" ht="12.75" hidden="1" outlineLevel="1">
      <c r="A19" s="2" t="s">
        <v>153</v>
      </c>
      <c r="C19" s="2" t="s">
        <v>154</v>
      </c>
      <c r="D19" s="1" t="s">
        <v>155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v>0</v>
      </c>
      <c r="N19" s="2">
        <v>378668.09</v>
      </c>
      <c r="O19" s="2">
        <v>0</v>
      </c>
      <c r="P19" s="2">
        <f t="shared" si="2"/>
        <v>378668.09</v>
      </c>
      <c r="Q19" s="2">
        <v>0</v>
      </c>
      <c r="R19" s="2">
        <v>0</v>
      </c>
      <c r="S19" s="2">
        <v>0</v>
      </c>
      <c r="T19" s="2">
        <v>0</v>
      </c>
      <c r="U19" s="2">
        <f t="shared" si="3"/>
        <v>0</v>
      </c>
      <c r="V19" s="2">
        <v>0</v>
      </c>
      <c r="W19" s="119">
        <f t="shared" si="4"/>
        <v>378668.09</v>
      </c>
      <c r="X19" s="2">
        <v>0</v>
      </c>
      <c r="Y19" s="168">
        <f t="shared" si="5"/>
        <v>378668.09</v>
      </c>
    </row>
    <row r="20" spans="1:25" ht="12.75" hidden="1" outlineLevel="1">
      <c r="A20" s="2" t="s">
        <v>156</v>
      </c>
      <c r="C20" s="2" t="s">
        <v>157</v>
      </c>
      <c r="D20" s="1" t="s">
        <v>158</v>
      </c>
      <c r="E20" s="2">
        <v>0</v>
      </c>
      <c r="F20" s="2">
        <v>0</v>
      </c>
      <c r="G20" s="2">
        <f t="shared" si="0"/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v>0</v>
      </c>
      <c r="N20" s="2">
        <v>3317733.08</v>
      </c>
      <c r="O20" s="2">
        <v>0</v>
      </c>
      <c r="P20" s="2">
        <f t="shared" si="2"/>
        <v>3317733.08</v>
      </c>
      <c r="Q20" s="2">
        <v>0</v>
      </c>
      <c r="R20" s="2">
        <v>0</v>
      </c>
      <c r="S20" s="2">
        <v>0</v>
      </c>
      <c r="T20" s="2">
        <v>0</v>
      </c>
      <c r="U20" s="2">
        <f t="shared" si="3"/>
        <v>0</v>
      </c>
      <c r="V20" s="2">
        <v>0</v>
      </c>
      <c r="W20" s="119">
        <f t="shared" si="4"/>
        <v>3317733.08</v>
      </c>
      <c r="X20" s="2">
        <v>0</v>
      </c>
      <c r="Y20" s="168">
        <f t="shared" si="5"/>
        <v>3317733.08</v>
      </c>
    </row>
    <row r="21" spans="1:25" ht="12.75" hidden="1" outlineLevel="1">
      <c r="A21" s="2" t="s">
        <v>159</v>
      </c>
      <c r="C21" s="2" t="s">
        <v>160</v>
      </c>
      <c r="D21" s="1" t="s">
        <v>161</v>
      </c>
      <c r="E21" s="2">
        <v>0</v>
      </c>
      <c r="F21" s="2">
        <v>0</v>
      </c>
      <c r="G21" s="2">
        <f t="shared" si="0"/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v>0</v>
      </c>
      <c r="N21" s="2">
        <v>38061.96</v>
      </c>
      <c r="O21" s="2">
        <v>44276.82</v>
      </c>
      <c r="P21" s="2">
        <f t="shared" si="2"/>
        <v>82338.78</v>
      </c>
      <c r="Q21" s="2">
        <v>0</v>
      </c>
      <c r="R21" s="2">
        <v>0</v>
      </c>
      <c r="S21" s="2">
        <v>0</v>
      </c>
      <c r="T21" s="2">
        <v>0</v>
      </c>
      <c r="U21" s="2">
        <f t="shared" si="3"/>
        <v>0</v>
      </c>
      <c r="V21" s="2">
        <v>3828.21</v>
      </c>
      <c r="W21" s="119">
        <f t="shared" si="4"/>
        <v>86166.99</v>
      </c>
      <c r="X21" s="2">
        <v>0</v>
      </c>
      <c r="Y21" s="168">
        <f t="shared" si="5"/>
        <v>86166.99</v>
      </c>
    </row>
    <row r="22" spans="1:25" ht="12.75" hidden="1" outlineLevel="1">
      <c r="A22" s="2" t="s">
        <v>162</v>
      </c>
      <c r="C22" s="2" t="s">
        <v>163</v>
      </c>
      <c r="D22" s="1" t="s">
        <v>164</v>
      </c>
      <c r="E22" s="2">
        <v>0</v>
      </c>
      <c r="F22" s="2">
        <v>0</v>
      </c>
      <c r="G22" s="2">
        <f t="shared" si="0"/>
        <v>0</v>
      </c>
      <c r="H22" s="2">
        <v>0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v>0</v>
      </c>
      <c r="N22" s="2">
        <v>10199782.91</v>
      </c>
      <c r="O22" s="2">
        <v>0</v>
      </c>
      <c r="P22" s="2">
        <f t="shared" si="2"/>
        <v>10199782.91</v>
      </c>
      <c r="Q22" s="2">
        <v>0</v>
      </c>
      <c r="R22" s="2">
        <v>0</v>
      </c>
      <c r="S22" s="2">
        <v>0</v>
      </c>
      <c r="T22" s="2">
        <v>0</v>
      </c>
      <c r="U22" s="2">
        <f t="shared" si="3"/>
        <v>0</v>
      </c>
      <c r="V22" s="2">
        <v>0</v>
      </c>
      <c r="W22" s="119">
        <f t="shared" si="4"/>
        <v>10199782.91</v>
      </c>
      <c r="X22" s="2">
        <v>0</v>
      </c>
      <c r="Y22" s="168">
        <f t="shared" si="5"/>
        <v>10199782.91</v>
      </c>
    </row>
    <row r="23" spans="1:25" ht="12.75" hidden="1" outlineLevel="1">
      <c r="A23" s="2" t="s">
        <v>165</v>
      </c>
      <c r="C23" s="2" t="s">
        <v>166</v>
      </c>
      <c r="D23" s="1" t="s">
        <v>167</v>
      </c>
      <c r="E23" s="2">
        <v>-5181007.85</v>
      </c>
      <c r="F23" s="2">
        <v>528327.62</v>
      </c>
      <c r="G23" s="2">
        <f t="shared" si="0"/>
        <v>-4652680.2299999995</v>
      </c>
      <c r="H23" s="2">
        <v>4448556.66</v>
      </c>
      <c r="I23" s="2">
        <v>65.94</v>
      </c>
      <c r="J23" s="2">
        <v>0</v>
      </c>
      <c r="K23" s="2">
        <v>-6685.86</v>
      </c>
      <c r="L23" s="2">
        <f t="shared" si="1"/>
        <v>-6619.92</v>
      </c>
      <c r="M23" s="2">
        <v>0.14</v>
      </c>
      <c r="N23" s="2">
        <v>-137546.96</v>
      </c>
      <c r="O23" s="2">
        <v>136224.15</v>
      </c>
      <c r="P23" s="2">
        <f t="shared" si="2"/>
        <v>-1322.6699999999837</v>
      </c>
      <c r="Q23" s="2">
        <v>-38525.27</v>
      </c>
      <c r="R23" s="2">
        <v>-5579.93</v>
      </c>
      <c r="S23" s="2">
        <v>0</v>
      </c>
      <c r="T23" s="2">
        <v>0</v>
      </c>
      <c r="U23" s="2">
        <f t="shared" si="3"/>
        <v>-44105.2</v>
      </c>
      <c r="V23" s="2">
        <v>591.43</v>
      </c>
      <c r="W23" s="119">
        <f t="shared" si="4"/>
        <v>-255579.92999999935</v>
      </c>
      <c r="X23" s="2">
        <v>0</v>
      </c>
      <c r="Y23" s="168">
        <f t="shared" si="5"/>
        <v>-255579.92999999935</v>
      </c>
    </row>
    <row r="24" spans="1:25" ht="12.75" customHeight="1" collapsed="1">
      <c r="A24" s="164" t="s">
        <v>168</v>
      </c>
      <c r="B24" s="30"/>
      <c r="C24" s="164" t="s">
        <v>169</v>
      </c>
      <c r="D24" s="31"/>
      <c r="E24" s="32">
        <v>4180973.8</v>
      </c>
      <c r="F24" s="32">
        <v>528167.51</v>
      </c>
      <c r="G24" s="36">
        <f t="shared" si="0"/>
        <v>4709141.31</v>
      </c>
      <c r="H24" s="36">
        <v>4552968.09</v>
      </c>
      <c r="I24" s="36">
        <v>65.94</v>
      </c>
      <c r="J24" s="36">
        <v>0</v>
      </c>
      <c r="K24" s="36">
        <v>317718.49</v>
      </c>
      <c r="L24" s="36">
        <f t="shared" si="1"/>
        <v>317784.43</v>
      </c>
      <c r="M24" s="36">
        <v>0.14</v>
      </c>
      <c r="N24" s="36">
        <v>13864096.649999999</v>
      </c>
      <c r="O24" s="36">
        <v>181323.68</v>
      </c>
      <c r="P24" s="36">
        <f t="shared" si="2"/>
        <v>14045420.469999999</v>
      </c>
      <c r="Q24" s="36">
        <v>1849378.29</v>
      </c>
      <c r="R24" s="36">
        <v>396978.29</v>
      </c>
      <c r="S24" s="36">
        <v>0</v>
      </c>
      <c r="T24" s="36">
        <v>0</v>
      </c>
      <c r="U24" s="36">
        <f t="shared" si="3"/>
        <v>2246356.58</v>
      </c>
      <c r="V24" s="36">
        <v>-17172.02</v>
      </c>
      <c r="W24" s="169">
        <f t="shared" si="4"/>
        <v>25854498.859999996</v>
      </c>
      <c r="X24" s="36">
        <v>0</v>
      </c>
      <c r="Y24" s="170">
        <f t="shared" si="5"/>
        <v>25854498.859999996</v>
      </c>
    </row>
    <row r="25" spans="1:25" ht="12.75" customHeight="1">
      <c r="A25" s="164" t="s">
        <v>170</v>
      </c>
      <c r="B25" s="30"/>
      <c r="C25" s="164" t="s">
        <v>171</v>
      </c>
      <c r="D25" s="31"/>
      <c r="E25" s="32">
        <v>0</v>
      </c>
      <c r="F25" s="32">
        <v>0</v>
      </c>
      <c r="G25" s="36">
        <f t="shared" si="0"/>
        <v>0</v>
      </c>
      <c r="H25" s="36">
        <v>0</v>
      </c>
      <c r="I25" s="36">
        <v>0</v>
      </c>
      <c r="J25" s="36">
        <v>0</v>
      </c>
      <c r="K25" s="36">
        <v>0</v>
      </c>
      <c r="L25" s="36">
        <f t="shared" si="1"/>
        <v>0</v>
      </c>
      <c r="M25" s="36">
        <v>0</v>
      </c>
      <c r="N25" s="36">
        <v>0</v>
      </c>
      <c r="O25" s="36">
        <v>0</v>
      </c>
      <c r="P25" s="36">
        <f t="shared" si="2"/>
        <v>0</v>
      </c>
      <c r="Q25" s="36">
        <v>0</v>
      </c>
      <c r="R25" s="36">
        <v>0</v>
      </c>
      <c r="S25" s="36">
        <v>0</v>
      </c>
      <c r="T25" s="36">
        <v>0</v>
      </c>
      <c r="U25" s="36">
        <f t="shared" si="3"/>
        <v>0</v>
      </c>
      <c r="V25" s="36">
        <v>0</v>
      </c>
      <c r="W25" s="169">
        <f t="shared" si="4"/>
        <v>0</v>
      </c>
      <c r="X25" s="36">
        <v>0</v>
      </c>
      <c r="Y25" s="170">
        <f t="shared" si="5"/>
        <v>0</v>
      </c>
    </row>
    <row r="26" spans="1:25" ht="12.75" hidden="1" outlineLevel="1">
      <c r="A26" s="2" t="s">
        <v>172</v>
      </c>
      <c r="C26" s="2" t="s">
        <v>173</v>
      </c>
      <c r="D26" s="1" t="s">
        <v>174</v>
      </c>
      <c r="E26" s="2">
        <v>0</v>
      </c>
      <c r="F26" s="2">
        <v>0</v>
      </c>
      <c r="G26" s="2">
        <f t="shared" si="0"/>
        <v>0</v>
      </c>
      <c r="H26" s="2">
        <v>2345127.35</v>
      </c>
      <c r="I26" s="2">
        <v>0</v>
      </c>
      <c r="J26" s="2">
        <v>0</v>
      </c>
      <c r="K26" s="2">
        <v>0</v>
      </c>
      <c r="L26" s="2">
        <f t="shared" si="1"/>
        <v>0</v>
      </c>
      <c r="M26" s="2">
        <v>0</v>
      </c>
      <c r="N26" s="2">
        <v>0</v>
      </c>
      <c r="O26" s="2">
        <v>0</v>
      </c>
      <c r="P26" s="2">
        <f t="shared" si="2"/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si="3"/>
        <v>0</v>
      </c>
      <c r="V26" s="2">
        <v>0</v>
      </c>
      <c r="W26" s="119">
        <f t="shared" si="4"/>
        <v>2345127.35</v>
      </c>
      <c r="X26" s="2">
        <v>0</v>
      </c>
      <c r="Y26" s="168">
        <f t="shared" si="5"/>
        <v>2345127.35</v>
      </c>
    </row>
    <row r="27" spans="1:25" ht="12.75" hidden="1" outlineLevel="1">
      <c r="A27" s="2" t="s">
        <v>175</v>
      </c>
      <c r="C27" s="2" t="s">
        <v>176</v>
      </c>
      <c r="D27" s="1" t="s">
        <v>177</v>
      </c>
      <c r="E27" s="2">
        <v>0</v>
      </c>
      <c r="F27" s="2">
        <v>-15000</v>
      </c>
      <c r="G27" s="2">
        <f t="shared" si="0"/>
        <v>-15000</v>
      </c>
      <c r="H27" s="2">
        <v>2615139.26</v>
      </c>
      <c r="I27" s="2">
        <v>0</v>
      </c>
      <c r="J27" s="2">
        <v>0</v>
      </c>
      <c r="K27" s="2">
        <v>0</v>
      </c>
      <c r="L27" s="2">
        <f t="shared" si="1"/>
        <v>0</v>
      </c>
      <c r="M27" s="2">
        <v>0</v>
      </c>
      <c r="N27" s="2">
        <v>0</v>
      </c>
      <c r="O27" s="2">
        <v>0</v>
      </c>
      <c r="P27" s="2">
        <f t="shared" si="2"/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3"/>
        <v>0</v>
      </c>
      <c r="V27" s="2">
        <v>0</v>
      </c>
      <c r="W27" s="119">
        <f t="shared" si="4"/>
        <v>2600139.26</v>
      </c>
      <c r="X27" s="2">
        <v>0</v>
      </c>
      <c r="Y27" s="168">
        <f t="shared" si="5"/>
        <v>2600139.26</v>
      </c>
    </row>
    <row r="28" spans="1:25" ht="12.75" hidden="1" outlineLevel="1">
      <c r="A28" s="2" t="s">
        <v>178</v>
      </c>
      <c r="C28" s="2" t="s">
        <v>179</v>
      </c>
      <c r="D28" s="1" t="s">
        <v>180</v>
      </c>
      <c r="E28" s="2">
        <v>0</v>
      </c>
      <c r="F28" s="2">
        <v>0</v>
      </c>
      <c r="G28" s="2">
        <f t="shared" si="0"/>
        <v>0</v>
      </c>
      <c r="H28" s="2">
        <v>1736213.03</v>
      </c>
      <c r="I28" s="2">
        <v>0</v>
      </c>
      <c r="J28" s="2">
        <v>0</v>
      </c>
      <c r="K28" s="2">
        <v>0</v>
      </c>
      <c r="L28" s="2">
        <f t="shared" si="1"/>
        <v>0</v>
      </c>
      <c r="M28" s="2">
        <v>0</v>
      </c>
      <c r="N28" s="2">
        <v>0</v>
      </c>
      <c r="O28" s="2">
        <v>0</v>
      </c>
      <c r="P28" s="2">
        <f t="shared" si="2"/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3"/>
        <v>0</v>
      </c>
      <c r="V28" s="2">
        <v>0</v>
      </c>
      <c r="W28" s="119">
        <f t="shared" si="4"/>
        <v>1736213.03</v>
      </c>
      <c r="X28" s="2">
        <v>0</v>
      </c>
      <c r="Y28" s="168">
        <f t="shared" si="5"/>
        <v>1736213.03</v>
      </c>
    </row>
    <row r="29" spans="1:25" ht="12.75" hidden="1" outlineLevel="1">
      <c r="A29" s="2" t="s">
        <v>181</v>
      </c>
      <c r="C29" s="2" t="s">
        <v>182</v>
      </c>
      <c r="D29" s="1" t="s">
        <v>183</v>
      </c>
      <c r="E29" s="2">
        <v>0</v>
      </c>
      <c r="F29" s="2">
        <v>0</v>
      </c>
      <c r="G29" s="2">
        <f t="shared" si="0"/>
        <v>0</v>
      </c>
      <c r="H29" s="2">
        <v>-120000</v>
      </c>
      <c r="I29" s="2">
        <v>0</v>
      </c>
      <c r="J29" s="2">
        <v>0</v>
      </c>
      <c r="K29" s="2">
        <v>0</v>
      </c>
      <c r="L29" s="2">
        <f t="shared" si="1"/>
        <v>0</v>
      </c>
      <c r="M29" s="2">
        <v>0</v>
      </c>
      <c r="N29" s="2">
        <v>0</v>
      </c>
      <c r="O29" s="2">
        <v>0</v>
      </c>
      <c r="P29" s="2">
        <f t="shared" si="2"/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3"/>
        <v>0</v>
      </c>
      <c r="V29" s="2">
        <v>0</v>
      </c>
      <c r="W29" s="119">
        <f t="shared" si="4"/>
        <v>-120000</v>
      </c>
      <c r="X29" s="2">
        <v>0</v>
      </c>
      <c r="Y29" s="168">
        <f t="shared" si="5"/>
        <v>-120000</v>
      </c>
    </row>
    <row r="30" spans="1:25" ht="12.75" customHeight="1" collapsed="1">
      <c r="A30" s="164" t="s">
        <v>184</v>
      </c>
      <c r="B30" s="30"/>
      <c r="C30" s="164" t="s">
        <v>185</v>
      </c>
      <c r="D30" s="31"/>
      <c r="E30" s="32">
        <v>0</v>
      </c>
      <c r="F30" s="32">
        <v>-15000</v>
      </c>
      <c r="G30" s="36">
        <f t="shared" si="0"/>
        <v>-15000</v>
      </c>
      <c r="H30" s="36">
        <v>6576479.640000001</v>
      </c>
      <c r="I30" s="36">
        <v>0</v>
      </c>
      <c r="J30" s="36">
        <v>0</v>
      </c>
      <c r="K30" s="36">
        <v>0</v>
      </c>
      <c r="L30" s="36">
        <f t="shared" si="1"/>
        <v>0</v>
      </c>
      <c r="M30" s="36">
        <v>0</v>
      </c>
      <c r="N30" s="36">
        <v>0</v>
      </c>
      <c r="O30" s="36">
        <v>0</v>
      </c>
      <c r="P30" s="36">
        <f t="shared" si="2"/>
        <v>0</v>
      </c>
      <c r="Q30" s="36">
        <v>0</v>
      </c>
      <c r="R30" s="36">
        <v>0</v>
      </c>
      <c r="S30" s="36">
        <v>0</v>
      </c>
      <c r="T30" s="36">
        <v>0</v>
      </c>
      <c r="U30" s="36">
        <f t="shared" si="3"/>
        <v>0</v>
      </c>
      <c r="V30" s="36">
        <v>0</v>
      </c>
      <c r="W30" s="169">
        <f t="shared" si="4"/>
        <v>6561479.640000001</v>
      </c>
      <c r="X30" s="36">
        <v>0</v>
      </c>
      <c r="Y30" s="170">
        <f t="shared" si="5"/>
        <v>6561479.640000001</v>
      </c>
    </row>
    <row r="31" spans="1:25" ht="12.75" customHeight="1">
      <c r="A31" s="164" t="s">
        <v>186</v>
      </c>
      <c r="B31" s="30"/>
      <c r="C31" s="164" t="s">
        <v>187</v>
      </c>
      <c r="D31" s="31"/>
      <c r="E31" s="32">
        <v>0</v>
      </c>
      <c r="F31" s="32">
        <v>0</v>
      </c>
      <c r="G31" s="36">
        <f t="shared" si="0"/>
        <v>0</v>
      </c>
      <c r="H31" s="36">
        <v>0</v>
      </c>
      <c r="I31" s="36">
        <v>0</v>
      </c>
      <c r="J31" s="36">
        <v>0</v>
      </c>
      <c r="K31" s="36">
        <v>0</v>
      </c>
      <c r="L31" s="36">
        <f t="shared" si="1"/>
        <v>0</v>
      </c>
      <c r="M31" s="36">
        <v>0</v>
      </c>
      <c r="N31" s="36">
        <v>0</v>
      </c>
      <c r="O31" s="36">
        <v>0</v>
      </c>
      <c r="P31" s="36">
        <f t="shared" si="2"/>
        <v>0</v>
      </c>
      <c r="Q31" s="36">
        <v>0</v>
      </c>
      <c r="R31" s="36">
        <v>0</v>
      </c>
      <c r="S31" s="36">
        <v>0</v>
      </c>
      <c r="T31" s="36">
        <v>0</v>
      </c>
      <c r="U31" s="36">
        <f t="shared" si="3"/>
        <v>0</v>
      </c>
      <c r="V31" s="36">
        <v>0</v>
      </c>
      <c r="W31" s="169">
        <f t="shared" si="4"/>
        <v>0</v>
      </c>
      <c r="X31" s="36">
        <v>0</v>
      </c>
      <c r="Y31" s="170">
        <f t="shared" si="5"/>
        <v>0</v>
      </c>
    </row>
    <row r="32" spans="1:25" ht="12.75" hidden="1" outlineLevel="1">
      <c r="A32" s="2" t="s">
        <v>188</v>
      </c>
      <c r="C32" s="2" t="s">
        <v>189</v>
      </c>
      <c r="D32" s="1" t="s">
        <v>190</v>
      </c>
      <c r="E32" s="2">
        <v>0</v>
      </c>
      <c r="F32" s="2">
        <v>0</v>
      </c>
      <c r="G32" s="2">
        <f t="shared" si="0"/>
        <v>0</v>
      </c>
      <c r="H32" s="2">
        <v>2053679.06</v>
      </c>
      <c r="I32" s="2">
        <v>0</v>
      </c>
      <c r="J32" s="2">
        <v>0</v>
      </c>
      <c r="K32" s="2">
        <v>0</v>
      </c>
      <c r="L32" s="2">
        <f t="shared" si="1"/>
        <v>0</v>
      </c>
      <c r="M32" s="2">
        <v>0</v>
      </c>
      <c r="N32" s="2">
        <v>0</v>
      </c>
      <c r="O32" s="2">
        <v>0</v>
      </c>
      <c r="P32" s="2">
        <f t="shared" si="2"/>
        <v>0</v>
      </c>
      <c r="Q32" s="2">
        <v>0</v>
      </c>
      <c r="R32" s="2">
        <v>0</v>
      </c>
      <c r="S32" s="2">
        <v>0</v>
      </c>
      <c r="T32" s="2">
        <v>0</v>
      </c>
      <c r="U32" s="2">
        <f t="shared" si="3"/>
        <v>0</v>
      </c>
      <c r="V32" s="2">
        <v>0</v>
      </c>
      <c r="W32" s="119">
        <f t="shared" si="4"/>
        <v>2053679.06</v>
      </c>
      <c r="X32" s="2">
        <v>0</v>
      </c>
      <c r="Y32" s="168">
        <f t="shared" si="5"/>
        <v>2053679.06</v>
      </c>
    </row>
    <row r="33" spans="1:25" ht="12.75" customHeight="1" collapsed="1">
      <c r="A33" s="164" t="s">
        <v>191</v>
      </c>
      <c r="B33" s="30"/>
      <c r="C33" s="164" t="s">
        <v>2781</v>
      </c>
      <c r="D33" s="31"/>
      <c r="E33" s="32">
        <v>0</v>
      </c>
      <c r="F33" s="32">
        <v>0</v>
      </c>
      <c r="G33" s="36">
        <f t="shared" si="0"/>
        <v>0</v>
      </c>
      <c r="H33" s="36">
        <v>2053679.06</v>
      </c>
      <c r="I33" s="36">
        <v>0</v>
      </c>
      <c r="J33" s="36">
        <v>0</v>
      </c>
      <c r="K33" s="36">
        <v>0</v>
      </c>
      <c r="L33" s="36">
        <f t="shared" si="1"/>
        <v>0</v>
      </c>
      <c r="M33" s="36">
        <v>0</v>
      </c>
      <c r="N33" s="36">
        <v>0</v>
      </c>
      <c r="O33" s="36">
        <v>0</v>
      </c>
      <c r="P33" s="36">
        <f t="shared" si="2"/>
        <v>0</v>
      </c>
      <c r="Q33" s="36">
        <v>0</v>
      </c>
      <c r="R33" s="36">
        <v>0</v>
      </c>
      <c r="S33" s="36">
        <v>0</v>
      </c>
      <c r="T33" s="36">
        <v>0</v>
      </c>
      <c r="U33" s="36">
        <f t="shared" si="3"/>
        <v>0</v>
      </c>
      <c r="V33" s="36">
        <v>0</v>
      </c>
      <c r="W33" s="169">
        <f t="shared" si="4"/>
        <v>2053679.06</v>
      </c>
      <c r="X33" s="36">
        <v>0</v>
      </c>
      <c r="Y33" s="170">
        <f t="shared" si="5"/>
        <v>2053679.06</v>
      </c>
    </row>
    <row r="34" spans="1:25" ht="12.75" hidden="1" outlineLevel="1">
      <c r="A34" s="2" t="s">
        <v>192</v>
      </c>
      <c r="C34" s="2" t="s">
        <v>193</v>
      </c>
      <c r="D34" s="1" t="s">
        <v>194</v>
      </c>
      <c r="E34" s="2">
        <v>3384956.21</v>
      </c>
      <c r="F34" s="2">
        <v>0</v>
      </c>
      <c r="G34" s="2">
        <f t="shared" si="0"/>
        <v>3384956.21</v>
      </c>
      <c r="H34" s="2">
        <v>0</v>
      </c>
      <c r="I34" s="2">
        <v>0</v>
      </c>
      <c r="J34" s="2">
        <v>0</v>
      </c>
      <c r="K34" s="2">
        <v>0</v>
      </c>
      <c r="L34" s="2">
        <f t="shared" si="1"/>
        <v>0</v>
      </c>
      <c r="M34" s="2">
        <v>0</v>
      </c>
      <c r="N34" s="2">
        <v>0</v>
      </c>
      <c r="O34" s="2">
        <v>0</v>
      </c>
      <c r="P34" s="2">
        <f t="shared" si="2"/>
        <v>0</v>
      </c>
      <c r="Q34" s="2">
        <v>0</v>
      </c>
      <c r="R34" s="2">
        <v>0</v>
      </c>
      <c r="S34" s="2">
        <v>0</v>
      </c>
      <c r="T34" s="2">
        <v>0</v>
      </c>
      <c r="U34" s="2">
        <f t="shared" si="3"/>
        <v>0</v>
      </c>
      <c r="V34" s="2">
        <v>0</v>
      </c>
      <c r="W34" s="119">
        <f t="shared" si="4"/>
        <v>3384956.21</v>
      </c>
      <c r="X34" s="2">
        <v>0</v>
      </c>
      <c r="Y34" s="168">
        <f t="shared" si="5"/>
        <v>3384956.21</v>
      </c>
    </row>
    <row r="35" spans="1:25" ht="12.75" hidden="1" outlineLevel="1">
      <c r="A35" s="2" t="s">
        <v>195</v>
      </c>
      <c r="C35" s="2" t="s">
        <v>196</v>
      </c>
      <c r="D35" s="1" t="s">
        <v>197</v>
      </c>
      <c r="E35" s="2">
        <v>430247.41</v>
      </c>
      <c r="F35" s="2">
        <v>-8138.79</v>
      </c>
      <c r="G35" s="2">
        <f t="shared" si="0"/>
        <v>422108.62</v>
      </c>
      <c r="H35" s="2">
        <v>370</v>
      </c>
      <c r="I35" s="2">
        <v>0</v>
      </c>
      <c r="J35" s="2">
        <v>0</v>
      </c>
      <c r="K35" s="2">
        <v>0</v>
      </c>
      <c r="L35" s="2">
        <f t="shared" si="1"/>
        <v>0</v>
      </c>
      <c r="M35" s="2">
        <v>0</v>
      </c>
      <c r="N35" s="2">
        <v>0</v>
      </c>
      <c r="O35" s="2">
        <v>0</v>
      </c>
      <c r="P35" s="2">
        <f t="shared" si="2"/>
        <v>0</v>
      </c>
      <c r="Q35" s="2">
        <v>0</v>
      </c>
      <c r="R35" s="2">
        <v>0</v>
      </c>
      <c r="S35" s="2">
        <v>0</v>
      </c>
      <c r="T35" s="2">
        <v>0</v>
      </c>
      <c r="U35" s="2">
        <f t="shared" si="3"/>
        <v>0</v>
      </c>
      <c r="V35" s="2">
        <v>1365.4</v>
      </c>
      <c r="W35" s="119">
        <f t="shared" si="4"/>
        <v>423844.02</v>
      </c>
      <c r="X35" s="2">
        <v>0</v>
      </c>
      <c r="Y35" s="168">
        <f t="shared" si="5"/>
        <v>423844.02</v>
      </c>
    </row>
    <row r="36" spans="1:25" ht="12.75" hidden="1" outlineLevel="1">
      <c r="A36" s="2" t="s">
        <v>198</v>
      </c>
      <c r="C36" s="2" t="s">
        <v>199</v>
      </c>
      <c r="D36" s="1" t="s">
        <v>200</v>
      </c>
      <c r="E36" s="2">
        <v>4311.5</v>
      </c>
      <c r="F36" s="2">
        <v>0</v>
      </c>
      <c r="G36" s="2">
        <f t="shared" si="0"/>
        <v>4311.5</v>
      </c>
      <c r="H36" s="2">
        <v>0</v>
      </c>
      <c r="I36" s="2">
        <v>0</v>
      </c>
      <c r="J36" s="2">
        <v>0</v>
      </c>
      <c r="K36" s="2">
        <v>0</v>
      </c>
      <c r="L36" s="2">
        <f t="shared" si="1"/>
        <v>0</v>
      </c>
      <c r="M36" s="2">
        <v>0</v>
      </c>
      <c r="N36" s="2">
        <v>0</v>
      </c>
      <c r="O36" s="2">
        <v>0</v>
      </c>
      <c r="P36" s="2">
        <f t="shared" si="2"/>
        <v>0</v>
      </c>
      <c r="Q36" s="2">
        <v>0</v>
      </c>
      <c r="R36" s="2">
        <v>0</v>
      </c>
      <c r="S36" s="2">
        <v>0</v>
      </c>
      <c r="T36" s="2">
        <v>0</v>
      </c>
      <c r="U36" s="2">
        <f t="shared" si="3"/>
        <v>0</v>
      </c>
      <c r="V36" s="2">
        <v>0</v>
      </c>
      <c r="W36" s="119">
        <f t="shared" si="4"/>
        <v>4311.5</v>
      </c>
      <c r="X36" s="2">
        <v>0</v>
      </c>
      <c r="Y36" s="168">
        <f t="shared" si="5"/>
        <v>4311.5</v>
      </c>
    </row>
    <row r="37" spans="1:25" ht="12.75" hidden="1" outlineLevel="1">
      <c r="A37" s="2" t="s">
        <v>201</v>
      </c>
      <c r="C37" s="2" t="s">
        <v>202</v>
      </c>
      <c r="D37" s="1" t="s">
        <v>203</v>
      </c>
      <c r="E37" s="2">
        <v>-212311.48</v>
      </c>
      <c r="F37" s="2">
        <v>0</v>
      </c>
      <c r="G37" s="2">
        <f t="shared" si="0"/>
        <v>-212311.48</v>
      </c>
      <c r="H37" s="2">
        <v>0</v>
      </c>
      <c r="I37" s="2">
        <v>0</v>
      </c>
      <c r="J37" s="2">
        <v>0</v>
      </c>
      <c r="K37" s="2">
        <v>24270.86</v>
      </c>
      <c r="L37" s="2">
        <f t="shared" si="1"/>
        <v>24270.86</v>
      </c>
      <c r="M37" s="2">
        <v>0</v>
      </c>
      <c r="N37" s="2">
        <v>0</v>
      </c>
      <c r="O37" s="2">
        <v>0</v>
      </c>
      <c r="P37" s="2">
        <f t="shared" si="2"/>
        <v>0</v>
      </c>
      <c r="Q37" s="2">
        <v>0</v>
      </c>
      <c r="R37" s="2">
        <v>0</v>
      </c>
      <c r="S37" s="2">
        <v>0</v>
      </c>
      <c r="T37" s="2">
        <v>0</v>
      </c>
      <c r="U37" s="2">
        <f t="shared" si="3"/>
        <v>0</v>
      </c>
      <c r="V37" s="2">
        <v>0</v>
      </c>
      <c r="W37" s="119">
        <f t="shared" si="4"/>
        <v>-188040.62</v>
      </c>
      <c r="X37" s="2">
        <v>0</v>
      </c>
      <c r="Y37" s="168">
        <f t="shared" si="5"/>
        <v>-188040.62</v>
      </c>
    </row>
    <row r="38" spans="1:25" ht="12.75" hidden="1" outlineLevel="1">
      <c r="A38" s="2" t="s">
        <v>204</v>
      </c>
      <c r="C38" s="2" t="s">
        <v>205</v>
      </c>
      <c r="D38" s="1" t="s">
        <v>206</v>
      </c>
      <c r="E38" s="2">
        <v>-317750.19</v>
      </c>
      <c r="F38" s="2">
        <v>0</v>
      </c>
      <c r="G38" s="2">
        <f t="shared" si="0"/>
        <v>-317750.19</v>
      </c>
      <c r="H38" s="2">
        <v>0</v>
      </c>
      <c r="I38" s="2">
        <v>0</v>
      </c>
      <c r="J38" s="2">
        <v>0</v>
      </c>
      <c r="K38" s="2">
        <v>0</v>
      </c>
      <c r="L38" s="2">
        <f t="shared" si="1"/>
        <v>0</v>
      </c>
      <c r="M38" s="2">
        <v>0</v>
      </c>
      <c r="N38" s="2">
        <v>0</v>
      </c>
      <c r="O38" s="2">
        <v>0</v>
      </c>
      <c r="P38" s="2">
        <f t="shared" si="2"/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3"/>
        <v>0</v>
      </c>
      <c r="V38" s="2">
        <v>0</v>
      </c>
      <c r="W38" s="119">
        <f t="shared" si="4"/>
        <v>-317750.19</v>
      </c>
      <c r="X38" s="2">
        <v>0</v>
      </c>
      <c r="Y38" s="168">
        <f t="shared" si="5"/>
        <v>-317750.19</v>
      </c>
    </row>
    <row r="39" spans="1:25" ht="12.75" hidden="1" outlineLevel="1">
      <c r="A39" s="2" t="s">
        <v>207</v>
      </c>
      <c r="C39" s="2" t="s">
        <v>208</v>
      </c>
      <c r="D39" s="1" t="s">
        <v>209</v>
      </c>
      <c r="E39" s="2">
        <v>-10</v>
      </c>
      <c r="F39" s="2">
        <v>0</v>
      </c>
      <c r="G39" s="2">
        <f t="shared" si="0"/>
        <v>-10</v>
      </c>
      <c r="H39" s="2">
        <v>0</v>
      </c>
      <c r="I39" s="2">
        <v>19447</v>
      </c>
      <c r="J39" s="2">
        <v>0</v>
      </c>
      <c r="K39" s="2">
        <v>0</v>
      </c>
      <c r="L39" s="2">
        <f t="shared" si="1"/>
        <v>19447</v>
      </c>
      <c r="M39" s="2">
        <v>0</v>
      </c>
      <c r="N39" s="2">
        <v>0</v>
      </c>
      <c r="O39" s="2">
        <v>0</v>
      </c>
      <c r="P39" s="2">
        <f t="shared" si="2"/>
        <v>0</v>
      </c>
      <c r="Q39" s="2">
        <v>0</v>
      </c>
      <c r="R39" s="2">
        <v>0</v>
      </c>
      <c r="S39" s="2">
        <v>0</v>
      </c>
      <c r="T39" s="2">
        <v>0</v>
      </c>
      <c r="U39" s="2">
        <f t="shared" si="3"/>
        <v>0</v>
      </c>
      <c r="V39" s="2">
        <v>0</v>
      </c>
      <c r="W39" s="119">
        <f t="shared" si="4"/>
        <v>19437</v>
      </c>
      <c r="X39" s="2">
        <v>0</v>
      </c>
      <c r="Y39" s="168">
        <f t="shared" si="5"/>
        <v>19437</v>
      </c>
    </row>
    <row r="40" spans="1:25" ht="12.75" customHeight="1" collapsed="1">
      <c r="A40" s="164" t="s">
        <v>210</v>
      </c>
      <c r="B40" s="30"/>
      <c r="C40" s="164" t="s">
        <v>211</v>
      </c>
      <c r="D40" s="31"/>
      <c r="E40" s="32">
        <v>3289443.45</v>
      </c>
      <c r="F40" s="32">
        <v>-8138.79</v>
      </c>
      <c r="G40" s="36">
        <f t="shared" si="0"/>
        <v>3281304.66</v>
      </c>
      <c r="H40" s="36">
        <v>370</v>
      </c>
      <c r="I40" s="36">
        <v>19447</v>
      </c>
      <c r="J40" s="36">
        <v>0</v>
      </c>
      <c r="K40" s="36">
        <v>24270.86</v>
      </c>
      <c r="L40" s="36">
        <f t="shared" si="1"/>
        <v>43717.86</v>
      </c>
      <c r="M40" s="36">
        <v>0</v>
      </c>
      <c r="N40" s="36">
        <v>0</v>
      </c>
      <c r="O40" s="36">
        <v>0</v>
      </c>
      <c r="P40" s="36">
        <f t="shared" si="2"/>
        <v>0</v>
      </c>
      <c r="Q40" s="36">
        <v>0</v>
      </c>
      <c r="R40" s="36">
        <v>0</v>
      </c>
      <c r="S40" s="36">
        <v>0</v>
      </c>
      <c r="T40" s="36">
        <v>0</v>
      </c>
      <c r="U40" s="36">
        <f t="shared" si="3"/>
        <v>0</v>
      </c>
      <c r="V40" s="36">
        <v>1365.4</v>
      </c>
      <c r="W40" s="169">
        <f t="shared" si="4"/>
        <v>3326757.92</v>
      </c>
      <c r="X40" s="36">
        <v>0</v>
      </c>
      <c r="Y40" s="170">
        <f t="shared" si="5"/>
        <v>3326757.92</v>
      </c>
    </row>
    <row r="41" spans="1:25" ht="12.75" customHeight="1">
      <c r="A41" s="164" t="s">
        <v>212</v>
      </c>
      <c r="B41" s="30"/>
      <c r="C41" s="164" t="s">
        <v>213</v>
      </c>
      <c r="D41" s="31"/>
      <c r="E41" s="32">
        <v>0</v>
      </c>
      <c r="F41" s="32">
        <v>0</v>
      </c>
      <c r="G41" s="36">
        <f t="shared" si="0"/>
        <v>0</v>
      </c>
      <c r="H41" s="36">
        <v>0</v>
      </c>
      <c r="I41" s="36">
        <v>0</v>
      </c>
      <c r="J41" s="36">
        <v>0</v>
      </c>
      <c r="K41" s="36">
        <v>0</v>
      </c>
      <c r="L41" s="36">
        <f t="shared" si="1"/>
        <v>0</v>
      </c>
      <c r="M41" s="36">
        <v>0</v>
      </c>
      <c r="N41" s="36">
        <v>0</v>
      </c>
      <c r="O41" s="36">
        <v>0</v>
      </c>
      <c r="P41" s="36">
        <f t="shared" si="2"/>
        <v>0</v>
      </c>
      <c r="Q41" s="36">
        <v>0</v>
      </c>
      <c r="R41" s="36">
        <v>0</v>
      </c>
      <c r="S41" s="36">
        <v>0</v>
      </c>
      <c r="T41" s="36">
        <v>0</v>
      </c>
      <c r="U41" s="36">
        <f t="shared" si="3"/>
        <v>0</v>
      </c>
      <c r="V41" s="36">
        <v>0</v>
      </c>
      <c r="W41" s="169">
        <f t="shared" si="4"/>
        <v>0</v>
      </c>
      <c r="X41" s="36">
        <v>0</v>
      </c>
      <c r="Y41" s="170">
        <f t="shared" si="5"/>
        <v>0</v>
      </c>
    </row>
    <row r="42" spans="1:25" ht="12.75" customHeight="1">
      <c r="A42" s="164" t="s">
        <v>214</v>
      </c>
      <c r="B42" s="30"/>
      <c r="C42" s="164" t="s">
        <v>215</v>
      </c>
      <c r="D42" s="31"/>
      <c r="E42" s="32">
        <v>0</v>
      </c>
      <c r="F42" s="32">
        <v>0</v>
      </c>
      <c r="G42" s="36">
        <f t="shared" si="0"/>
        <v>0</v>
      </c>
      <c r="H42" s="36">
        <v>0</v>
      </c>
      <c r="I42" s="36">
        <v>0</v>
      </c>
      <c r="J42" s="36">
        <v>0</v>
      </c>
      <c r="K42" s="36">
        <v>0</v>
      </c>
      <c r="L42" s="36">
        <f t="shared" si="1"/>
        <v>0</v>
      </c>
      <c r="M42" s="36">
        <v>0</v>
      </c>
      <c r="N42" s="36">
        <v>0</v>
      </c>
      <c r="O42" s="36">
        <v>0</v>
      </c>
      <c r="P42" s="36">
        <f t="shared" si="2"/>
        <v>0</v>
      </c>
      <c r="Q42" s="36">
        <v>0</v>
      </c>
      <c r="R42" s="36">
        <v>0</v>
      </c>
      <c r="S42" s="36">
        <v>0</v>
      </c>
      <c r="T42" s="36">
        <v>0</v>
      </c>
      <c r="U42" s="36">
        <f t="shared" si="3"/>
        <v>0</v>
      </c>
      <c r="V42" s="36">
        <v>0</v>
      </c>
      <c r="W42" s="169">
        <f t="shared" si="4"/>
        <v>0</v>
      </c>
      <c r="X42" s="36">
        <v>0</v>
      </c>
      <c r="Y42" s="170">
        <f t="shared" si="5"/>
        <v>0</v>
      </c>
    </row>
    <row r="43" spans="1:25" ht="12.75" hidden="1" outlineLevel="1">
      <c r="A43" s="2" t="s">
        <v>216</v>
      </c>
      <c r="C43" s="2" t="s">
        <v>2804</v>
      </c>
      <c r="D43" s="1" t="s">
        <v>217</v>
      </c>
      <c r="E43" s="2">
        <v>358190.95</v>
      </c>
      <c r="F43" s="2">
        <v>0</v>
      </c>
      <c r="G43" s="2">
        <f t="shared" si="0"/>
        <v>358190.95</v>
      </c>
      <c r="H43" s="2">
        <v>0</v>
      </c>
      <c r="I43" s="2">
        <v>0</v>
      </c>
      <c r="J43" s="2">
        <v>0</v>
      </c>
      <c r="K43" s="2">
        <v>0</v>
      </c>
      <c r="L43" s="2">
        <f t="shared" si="1"/>
        <v>0</v>
      </c>
      <c r="M43" s="2">
        <v>0</v>
      </c>
      <c r="N43" s="2">
        <v>0</v>
      </c>
      <c r="O43" s="2">
        <v>0</v>
      </c>
      <c r="P43" s="2">
        <f t="shared" si="2"/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3"/>
        <v>0</v>
      </c>
      <c r="V43" s="2">
        <v>0</v>
      </c>
      <c r="W43" s="119">
        <f t="shared" si="4"/>
        <v>358190.95</v>
      </c>
      <c r="X43" s="2">
        <v>0</v>
      </c>
      <c r="Y43" s="168">
        <f t="shared" si="5"/>
        <v>358190.95</v>
      </c>
    </row>
    <row r="44" spans="1:25" ht="12.75" customHeight="1" collapsed="1">
      <c r="A44" s="164" t="s">
        <v>218</v>
      </c>
      <c r="B44" s="30"/>
      <c r="C44" s="164" t="s">
        <v>2804</v>
      </c>
      <c r="D44" s="31"/>
      <c r="E44" s="32">
        <v>358190.95</v>
      </c>
      <c r="F44" s="32">
        <v>0</v>
      </c>
      <c r="G44" s="36">
        <f t="shared" si="0"/>
        <v>358190.95</v>
      </c>
      <c r="H44" s="36">
        <v>0</v>
      </c>
      <c r="I44" s="36">
        <v>0</v>
      </c>
      <c r="J44" s="36">
        <v>0</v>
      </c>
      <c r="K44" s="36">
        <v>0</v>
      </c>
      <c r="L44" s="36">
        <f t="shared" si="1"/>
        <v>0</v>
      </c>
      <c r="M44" s="36">
        <v>0</v>
      </c>
      <c r="N44" s="36">
        <v>0</v>
      </c>
      <c r="O44" s="36">
        <v>0</v>
      </c>
      <c r="P44" s="36">
        <f t="shared" si="2"/>
        <v>0</v>
      </c>
      <c r="Q44" s="36">
        <v>0</v>
      </c>
      <c r="R44" s="36">
        <v>0</v>
      </c>
      <c r="S44" s="36">
        <v>0</v>
      </c>
      <c r="T44" s="36">
        <v>0</v>
      </c>
      <c r="U44" s="36">
        <f t="shared" si="3"/>
        <v>0</v>
      </c>
      <c r="V44" s="36">
        <v>0</v>
      </c>
      <c r="W44" s="169">
        <f t="shared" si="4"/>
        <v>358190.95</v>
      </c>
      <c r="X44" s="36">
        <v>0</v>
      </c>
      <c r="Y44" s="170">
        <f t="shared" si="5"/>
        <v>358190.95</v>
      </c>
    </row>
    <row r="45" spans="1:25" ht="12.75" hidden="1" outlineLevel="1">
      <c r="A45" s="2" t="s">
        <v>219</v>
      </c>
      <c r="C45" s="2" t="s">
        <v>220</v>
      </c>
      <c r="D45" s="1" t="s">
        <v>221</v>
      </c>
      <c r="E45" s="2">
        <v>374413.86</v>
      </c>
      <c r="F45" s="2">
        <v>0</v>
      </c>
      <c r="G45" s="2">
        <f t="shared" si="0"/>
        <v>374413.86</v>
      </c>
      <c r="H45" s="2">
        <v>82850.86</v>
      </c>
      <c r="I45" s="2">
        <v>0</v>
      </c>
      <c r="J45" s="2">
        <v>0</v>
      </c>
      <c r="K45" s="2">
        <v>0</v>
      </c>
      <c r="L45" s="2">
        <f t="shared" si="1"/>
        <v>0</v>
      </c>
      <c r="M45" s="2">
        <v>0</v>
      </c>
      <c r="N45" s="2">
        <v>0</v>
      </c>
      <c r="O45" s="2">
        <v>0</v>
      </c>
      <c r="P45" s="2">
        <f t="shared" si="2"/>
        <v>0</v>
      </c>
      <c r="Q45" s="2">
        <v>0</v>
      </c>
      <c r="R45" s="2">
        <v>0</v>
      </c>
      <c r="S45" s="2">
        <v>0</v>
      </c>
      <c r="T45" s="2">
        <v>0</v>
      </c>
      <c r="U45" s="2">
        <f t="shared" si="3"/>
        <v>0</v>
      </c>
      <c r="V45" s="2">
        <v>139044</v>
      </c>
      <c r="W45" s="119">
        <f t="shared" si="4"/>
        <v>596308.72</v>
      </c>
      <c r="X45" s="2">
        <v>0</v>
      </c>
      <c r="Y45" s="168">
        <f t="shared" si="5"/>
        <v>596308.72</v>
      </c>
    </row>
    <row r="46" spans="1:25" ht="12.75" customHeight="1" collapsed="1">
      <c r="A46" s="164" t="s">
        <v>222</v>
      </c>
      <c r="B46" s="30"/>
      <c r="C46" s="164" t="s">
        <v>223</v>
      </c>
      <c r="D46" s="31"/>
      <c r="E46" s="32">
        <v>374413.86</v>
      </c>
      <c r="F46" s="32">
        <v>0</v>
      </c>
      <c r="G46" s="36">
        <f t="shared" si="0"/>
        <v>374413.86</v>
      </c>
      <c r="H46" s="36">
        <v>82850.86</v>
      </c>
      <c r="I46" s="36">
        <v>0</v>
      </c>
      <c r="J46" s="36">
        <v>0</v>
      </c>
      <c r="K46" s="36">
        <v>0</v>
      </c>
      <c r="L46" s="36">
        <f t="shared" si="1"/>
        <v>0</v>
      </c>
      <c r="M46" s="36">
        <v>0</v>
      </c>
      <c r="N46" s="36">
        <v>0</v>
      </c>
      <c r="O46" s="36">
        <v>0</v>
      </c>
      <c r="P46" s="36">
        <f t="shared" si="2"/>
        <v>0</v>
      </c>
      <c r="Q46" s="36">
        <v>0</v>
      </c>
      <c r="R46" s="36">
        <v>0</v>
      </c>
      <c r="S46" s="36">
        <v>0</v>
      </c>
      <c r="T46" s="36">
        <v>0</v>
      </c>
      <c r="U46" s="36">
        <f t="shared" si="3"/>
        <v>0</v>
      </c>
      <c r="V46" s="36">
        <v>139044</v>
      </c>
      <c r="W46" s="169">
        <f t="shared" si="4"/>
        <v>596308.72</v>
      </c>
      <c r="X46" s="36">
        <v>0</v>
      </c>
      <c r="Y46" s="170">
        <f t="shared" si="5"/>
        <v>596308.72</v>
      </c>
    </row>
    <row r="47" spans="1:25" ht="12.75" hidden="1" outlineLevel="1">
      <c r="A47" s="2" t="s">
        <v>224</v>
      </c>
      <c r="C47" s="2" t="s">
        <v>225</v>
      </c>
      <c r="D47" s="1" t="s">
        <v>226</v>
      </c>
      <c r="E47" s="2">
        <v>0</v>
      </c>
      <c r="F47" s="2">
        <v>0</v>
      </c>
      <c r="G47" s="2">
        <f t="shared" si="0"/>
        <v>0</v>
      </c>
      <c r="H47" s="2">
        <v>0</v>
      </c>
      <c r="I47" s="2">
        <v>12131</v>
      </c>
      <c r="J47" s="2">
        <v>0</v>
      </c>
      <c r="K47" s="2">
        <v>2121439</v>
      </c>
      <c r="L47" s="2">
        <f t="shared" si="1"/>
        <v>2133570</v>
      </c>
      <c r="M47" s="2">
        <v>0</v>
      </c>
      <c r="N47" s="2">
        <v>0</v>
      </c>
      <c r="O47" s="2">
        <v>0</v>
      </c>
      <c r="P47" s="2">
        <f t="shared" si="2"/>
        <v>0</v>
      </c>
      <c r="Q47" s="2">
        <v>0</v>
      </c>
      <c r="R47" s="2">
        <v>0</v>
      </c>
      <c r="S47" s="2">
        <v>0</v>
      </c>
      <c r="T47" s="2">
        <v>0</v>
      </c>
      <c r="U47" s="2">
        <f t="shared" si="3"/>
        <v>0</v>
      </c>
      <c r="V47" s="2">
        <v>0</v>
      </c>
      <c r="W47" s="119">
        <f t="shared" si="4"/>
        <v>2133570</v>
      </c>
      <c r="X47" s="2">
        <v>0</v>
      </c>
      <c r="Y47" s="168">
        <f t="shared" si="5"/>
        <v>2133570</v>
      </c>
    </row>
    <row r="48" spans="1:25" ht="12.75" customHeight="1" collapsed="1">
      <c r="A48" s="164" t="s">
        <v>227</v>
      </c>
      <c r="B48" s="30"/>
      <c r="C48" s="164" t="s">
        <v>2803</v>
      </c>
      <c r="D48" s="31"/>
      <c r="E48" s="32">
        <v>0</v>
      </c>
      <c r="F48" s="32">
        <v>0</v>
      </c>
      <c r="G48" s="36">
        <f t="shared" si="0"/>
        <v>0</v>
      </c>
      <c r="H48" s="36">
        <v>0</v>
      </c>
      <c r="I48" s="36">
        <v>12131</v>
      </c>
      <c r="J48" s="36">
        <v>0</v>
      </c>
      <c r="K48" s="36">
        <v>2121439</v>
      </c>
      <c r="L48" s="36">
        <f t="shared" si="1"/>
        <v>2133570</v>
      </c>
      <c r="M48" s="36">
        <v>0</v>
      </c>
      <c r="N48" s="36">
        <v>0</v>
      </c>
      <c r="O48" s="36">
        <v>0</v>
      </c>
      <c r="P48" s="36">
        <f t="shared" si="2"/>
        <v>0</v>
      </c>
      <c r="Q48" s="36">
        <v>0</v>
      </c>
      <c r="R48" s="36">
        <v>0</v>
      </c>
      <c r="S48" s="36">
        <v>0</v>
      </c>
      <c r="T48" s="36">
        <v>0</v>
      </c>
      <c r="U48" s="36">
        <f t="shared" si="3"/>
        <v>0</v>
      </c>
      <c r="V48" s="36">
        <v>0</v>
      </c>
      <c r="W48" s="169">
        <f t="shared" si="4"/>
        <v>2133570</v>
      </c>
      <c r="X48" s="36">
        <v>0</v>
      </c>
      <c r="Y48" s="170">
        <f t="shared" si="5"/>
        <v>2133570</v>
      </c>
    </row>
    <row r="49" spans="1:25" ht="12.75" customHeight="1">
      <c r="A49" s="164" t="s">
        <v>228</v>
      </c>
      <c r="B49" s="30"/>
      <c r="C49" s="164" t="s">
        <v>229</v>
      </c>
      <c r="D49" s="31"/>
      <c r="E49" s="32">
        <v>0</v>
      </c>
      <c r="F49" s="32">
        <v>0</v>
      </c>
      <c r="G49" s="36">
        <f t="shared" si="0"/>
        <v>0</v>
      </c>
      <c r="H49" s="36">
        <v>0</v>
      </c>
      <c r="I49" s="36">
        <v>0</v>
      </c>
      <c r="J49" s="36">
        <v>0</v>
      </c>
      <c r="K49" s="36">
        <v>0</v>
      </c>
      <c r="L49" s="36">
        <f t="shared" si="1"/>
        <v>0</v>
      </c>
      <c r="M49" s="36">
        <v>0</v>
      </c>
      <c r="N49" s="36">
        <v>0</v>
      </c>
      <c r="O49" s="36">
        <v>0</v>
      </c>
      <c r="P49" s="36">
        <f t="shared" si="2"/>
        <v>0</v>
      </c>
      <c r="Q49" s="36">
        <v>0</v>
      </c>
      <c r="R49" s="36">
        <v>0</v>
      </c>
      <c r="S49" s="36">
        <v>0</v>
      </c>
      <c r="T49" s="36">
        <v>0</v>
      </c>
      <c r="U49" s="36">
        <f t="shared" si="3"/>
        <v>0</v>
      </c>
      <c r="V49" s="36">
        <v>0</v>
      </c>
      <c r="W49" s="169">
        <f t="shared" si="4"/>
        <v>0</v>
      </c>
      <c r="X49" s="36">
        <v>0</v>
      </c>
      <c r="Y49" s="170">
        <f t="shared" si="5"/>
        <v>0</v>
      </c>
    </row>
    <row r="50" spans="1:25" ht="12.75" customHeight="1">
      <c r="A50" s="1"/>
      <c r="B50" s="30"/>
      <c r="C50" s="164"/>
      <c r="D50" s="31"/>
      <c r="E50" s="32"/>
      <c r="F50" s="32"/>
      <c r="G50" s="36"/>
      <c r="H50" s="36"/>
      <c r="I50" s="36"/>
      <c r="J50" s="36"/>
      <c r="K50" s="36"/>
      <c r="L50" s="39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9"/>
      <c r="X50" s="36"/>
      <c r="Y50" s="170"/>
    </row>
    <row r="51" spans="1:25" s="171" customFormat="1" ht="12.75" customHeight="1">
      <c r="A51" s="29"/>
      <c r="B51" s="23" t="s">
        <v>230</v>
      </c>
      <c r="C51" s="163"/>
      <c r="D51" s="24"/>
      <c r="E51" s="27">
        <f aca="true" t="shared" si="6" ref="E51:Y51">+E14+E25+E30+E31+E33+E40+E44+E46+E48+E24+E49+E42+E41</f>
        <v>8203022.0600000005</v>
      </c>
      <c r="F51" s="27">
        <f t="shared" si="6"/>
        <v>505028.72000000003</v>
      </c>
      <c r="G51" s="39">
        <f t="shared" si="6"/>
        <v>8708050.78</v>
      </c>
      <c r="H51" s="39">
        <f t="shared" si="6"/>
        <v>13266347.65</v>
      </c>
      <c r="I51" s="39">
        <f t="shared" si="6"/>
        <v>31643.94</v>
      </c>
      <c r="J51" s="39">
        <f t="shared" si="6"/>
        <v>0</v>
      </c>
      <c r="K51" s="39">
        <f t="shared" si="6"/>
        <v>2463428.3499999996</v>
      </c>
      <c r="L51" s="39">
        <f t="shared" si="6"/>
        <v>2495072.29</v>
      </c>
      <c r="M51" s="39">
        <f t="shared" si="6"/>
        <v>0.14</v>
      </c>
      <c r="N51" s="39">
        <f t="shared" si="6"/>
        <v>13864096.649999999</v>
      </c>
      <c r="O51" s="39">
        <f t="shared" si="6"/>
        <v>181323.68</v>
      </c>
      <c r="P51" s="39">
        <f t="shared" si="6"/>
        <v>14045420.469999999</v>
      </c>
      <c r="Q51" s="39">
        <f t="shared" si="6"/>
        <v>1849378.29</v>
      </c>
      <c r="R51" s="39">
        <f t="shared" si="6"/>
        <v>396978.29</v>
      </c>
      <c r="S51" s="39">
        <f t="shared" si="6"/>
        <v>0</v>
      </c>
      <c r="T51" s="39">
        <f t="shared" si="6"/>
        <v>0</v>
      </c>
      <c r="U51" s="39">
        <f t="shared" si="6"/>
        <v>2246356.58</v>
      </c>
      <c r="V51" s="39">
        <f t="shared" si="6"/>
        <v>123237.37999999999</v>
      </c>
      <c r="W51" s="39">
        <f t="shared" si="6"/>
        <v>40884485.15</v>
      </c>
      <c r="X51" s="39">
        <f t="shared" si="6"/>
        <v>0</v>
      </c>
      <c r="Y51" s="39">
        <f t="shared" si="6"/>
        <v>40884485.15</v>
      </c>
    </row>
    <row r="52" spans="1:25" ht="12.75" customHeight="1">
      <c r="A52" s="1"/>
      <c r="B52" s="30"/>
      <c r="C52" s="164"/>
      <c r="D52" s="31"/>
      <c r="E52" s="32"/>
      <c r="F52" s="3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169"/>
      <c r="X52" s="36"/>
      <c r="Y52" s="170"/>
    </row>
    <row r="53" spans="1:25" ht="12.75" customHeight="1">
      <c r="A53" s="29"/>
      <c r="B53" s="23" t="s">
        <v>2806</v>
      </c>
      <c r="C53" s="163"/>
      <c r="D53" s="24"/>
      <c r="E53" s="27"/>
      <c r="F53" s="27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172"/>
      <c r="X53" s="39"/>
      <c r="Y53" s="170"/>
    </row>
    <row r="54" spans="1:25" ht="12.75" customHeight="1">
      <c r="A54" s="1" t="s">
        <v>231</v>
      </c>
      <c r="B54" s="30"/>
      <c r="C54" s="164" t="s">
        <v>232</v>
      </c>
      <c r="D54" s="31"/>
      <c r="E54" s="32">
        <v>0</v>
      </c>
      <c r="F54" s="32">
        <v>0</v>
      </c>
      <c r="G54" s="36">
        <f aca="true" t="shared" si="7" ref="G54:G84">E54+F54</f>
        <v>0</v>
      </c>
      <c r="H54" s="36">
        <v>0</v>
      </c>
      <c r="I54" s="36">
        <v>0</v>
      </c>
      <c r="J54" s="36">
        <v>0</v>
      </c>
      <c r="K54" s="36">
        <v>0</v>
      </c>
      <c r="L54" s="36">
        <f aca="true" t="shared" si="8" ref="L54:L84">I54+J54+K54</f>
        <v>0</v>
      </c>
      <c r="M54" s="36">
        <v>0</v>
      </c>
      <c r="N54" s="36">
        <v>0</v>
      </c>
      <c r="O54" s="36">
        <v>0</v>
      </c>
      <c r="P54" s="36">
        <f aca="true" t="shared" si="9" ref="P54:P84">M54+N54+O54</f>
        <v>0</v>
      </c>
      <c r="Q54" s="36">
        <v>0</v>
      </c>
      <c r="R54" s="36">
        <v>0</v>
      </c>
      <c r="S54" s="36">
        <v>0</v>
      </c>
      <c r="T54" s="36">
        <v>0</v>
      </c>
      <c r="U54" s="36">
        <f aca="true" t="shared" si="10" ref="U54:U84">Q54+R54+S54+T54</f>
        <v>0</v>
      </c>
      <c r="V54" s="36">
        <v>0</v>
      </c>
      <c r="W54" s="169">
        <f aca="true" t="shared" si="11" ref="W54:W84">G54+H54+L54+P54+U54+V54</f>
        <v>0</v>
      </c>
      <c r="X54" s="36">
        <v>0</v>
      </c>
      <c r="Y54" s="170">
        <f aca="true" t="shared" si="12" ref="Y54:Y84">W54+X54</f>
        <v>0</v>
      </c>
    </row>
    <row r="55" spans="1:25" ht="12.75" hidden="1" outlineLevel="1">
      <c r="A55" s="2" t="s">
        <v>233</v>
      </c>
      <c r="C55" s="2" t="s">
        <v>234</v>
      </c>
      <c r="D55" s="1" t="s">
        <v>235</v>
      </c>
      <c r="E55" s="2">
        <v>0</v>
      </c>
      <c r="F55" s="2">
        <v>0</v>
      </c>
      <c r="G55" s="2">
        <f t="shared" si="7"/>
        <v>0</v>
      </c>
      <c r="H55" s="2">
        <v>4641431.53</v>
      </c>
      <c r="I55" s="2">
        <v>0</v>
      </c>
      <c r="J55" s="2">
        <v>0</v>
      </c>
      <c r="K55" s="2">
        <v>0</v>
      </c>
      <c r="L55" s="2">
        <f t="shared" si="8"/>
        <v>0</v>
      </c>
      <c r="M55" s="2">
        <v>0</v>
      </c>
      <c r="N55" s="2">
        <v>0</v>
      </c>
      <c r="O55" s="2">
        <v>0</v>
      </c>
      <c r="P55" s="2">
        <f t="shared" si="9"/>
        <v>0</v>
      </c>
      <c r="Q55" s="2">
        <v>0</v>
      </c>
      <c r="R55" s="2">
        <v>0</v>
      </c>
      <c r="S55" s="2">
        <v>0</v>
      </c>
      <c r="T55" s="2">
        <v>0</v>
      </c>
      <c r="U55" s="2">
        <f t="shared" si="10"/>
        <v>0</v>
      </c>
      <c r="V55" s="2">
        <v>0</v>
      </c>
      <c r="W55" s="119">
        <f t="shared" si="11"/>
        <v>4641431.53</v>
      </c>
      <c r="X55" s="2">
        <v>0</v>
      </c>
      <c r="Y55" s="168">
        <f t="shared" si="12"/>
        <v>4641431.53</v>
      </c>
    </row>
    <row r="56" spans="1:25" ht="12.75" customHeight="1" collapsed="1">
      <c r="A56" s="164" t="s">
        <v>236</v>
      </c>
      <c r="B56" s="30"/>
      <c r="C56" s="164" t="s">
        <v>2782</v>
      </c>
      <c r="D56" s="31"/>
      <c r="E56" s="32">
        <v>0</v>
      </c>
      <c r="F56" s="32">
        <v>0</v>
      </c>
      <c r="G56" s="36">
        <f t="shared" si="7"/>
        <v>0</v>
      </c>
      <c r="H56" s="36">
        <v>4641431.53</v>
      </c>
      <c r="I56" s="36">
        <v>0</v>
      </c>
      <c r="J56" s="36">
        <v>0</v>
      </c>
      <c r="K56" s="36">
        <v>0</v>
      </c>
      <c r="L56" s="36">
        <f t="shared" si="8"/>
        <v>0</v>
      </c>
      <c r="M56" s="36">
        <v>0</v>
      </c>
      <c r="N56" s="36">
        <v>0</v>
      </c>
      <c r="O56" s="36">
        <v>0</v>
      </c>
      <c r="P56" s="36">
        <f t="shared" si="9"/>
        <v>0</v>
      </c>
      <c r="Q56" s="36">
        <v>0</v>
      </c>
      <c r="R56" s="36">
        <v>0</v>
      </c>
      <c r="S56" s="36">
        <v>0</v>
      </c>
      <c r="T56" s="36">
        <v>0</v>
      </c>
      <c r="U56" s="36">
        <f t="shared" si="10"/>
        <v>0</v>
      </c>
      <c r="V56" s="36">
        <v>0</v>
      </c>
      <c r="W56" s="169">
        <f t="shared" si="11"/>
        <v>4641431.53</v>
      </c>
      <c r="X56" s="36">
        <v>0</v>
      </c>
      <c r="Y56" s="170">
        <f t="shared" si="12"/>
        <v>4641431.53</v>
      </c>
    </row>
    <row r="57" spans="1:25" ht="12.75" hidden="1" outlineLevel="1">
      <c r="A57" s="2" t="s">
        <v>237</v>
      </c>
      <c r="C57" s="2" t="s">
        <v>238</v>
      </c>
      <c r="D57" s="1" t="s">
        <v>239</v>
      </c>
      <c r="E57" s="2">
        <v>0</v>
      </c>
      <c r="F57" s="2">
        <v>0</v>
      </c>
      <c r="G57" s="2">
        <f t="shared" si="7"/>
        <v>0</v>
      </c>
      <c r="H57" s="2">
        <v>0</v>
      </c>
      <c r="I57" s="2">
        <v>-56456.89</v>
      </c>
      <c r="J57" s="2">
        <v>0</v>
      </c>
      <c r="K57" s="2">
        <v>-2102951.68</v>
      </c>
      <c r="L57" s="2">
        <f t="shared" si="8"/>
        <v>-2159408.5700000003</v>
      </c>
      <c r="M57" s="2">
        <v>0</v>
      </c>
      <c r="N57" s="2">
        <v>0</v>
      </c>
      <c r="O57" s="2">
        <v>0</v>
      </c>
      <c r="P57" s="2">
        <f t="shared" si="9"/>
        <v>0</v>
      </c>
      <c r="Q57" s="2">
        <v>0</v>
      </c>
      <c r="R57" s="2">
        <v>0</v>
      </c>
      <c r="S57" s="2">
        <v>0</v>
      </c>
      <c r="T57" s="2">
        <v>0</v>
      </c>
      <c r="U57" s="2">
        <f t="shared" si="10"/>
        <v>0</v>
      </c>
      <c r="V57" s="2">
        <v>0</v>
      </c>
      <c r="W57" s="119">
        <f t="shared" si="11"/>
        <v>-2159408.5700000003</v>
      </c>
      <c r="X57" s="2">
        <v>0</v>
      </c>
      <c r="Y57" s="168">
        <f t="shared" si="12"/>
        <v>-2159408.5700000003</v>
      </c>
    </row>
    <row r="58" spans="1:25" ht="12.75" hidden="1" outlineLevel="1">
      <c r="A58" s="2" t="s">
        <v>240</v>
      </c>
      <c r="C58" s="2" t="s">
        <v>241</v>
      </c>
      <c r="D58" s="1" t="s">
        <v>242</v>
      </c>
      <c r="E58" s="2">
        <v>0</v>
      </c>
      <c r="F58" s="2">
        <v>0</v>
      </c>
      <c r="G58" s="2">
        <f t="shared" si="7"/>
        <v>0</v>
      </c>
      <c r="H58" s="2">
        <v>0</v>
      </c>
      <c r="I58" s="2">
        <v>52729.02</v>
      </c>
      <c r="J58" s="2">
        <v>0</v>
      </c>
      <c r="K58" s="2">
        <v>2254959</v>
      </c>
      <c r="L58" s="2">
        <f t="shared" si="8"/>
        <v>2307688.02</v>
      </c>
      <c r="M58" s="2">
        <v>0</v>
      </c>
      <c r="N58" s="2">
        <v>0</v>
      </c>
      <c r="O58" s="2">
        <v>0</v>
      </c>
      <c r="P58" s="2">
        <f t="shared" si="9"/>
        <v>0</v>
      </c>
      <c r="Q58" s="2">
        <v>0</v>
      </c>
      <c r="R58" s="2">
        <v>0</v>
      </c>
      <c r="S58" s="2">
        <v>0</v>
      </c>
      <c r="T58" s="2">
        <v>0</v>
      </c>
      <c r="U58" s="2">
        <f t="shared" si="10"/>
        <v>0</v>
      </c>
      <c r="V58" s="2">
        <v>0</v>
      </c>
      <c r="W58" s="119">
        <f t="shared" si="11"/>
        <v>2307688.02</v>
      </c>
      <c r="X58" s="2">
        <v>0</v>
      </c>
      <c r="Y58" s="168">
        <f t="shared" si="12"/>
        <v>2307688.02</v>
      </c>
    </row>
    <row r="59" spans="1:25" ht="12.75" hidden="1" outlineLevel="1">
      <c r="A59" s="2" t="s">
        <v>243</v>
      </c>
      <c r="C59" s="2" t="s">
        <v>244</v>
      </c>
      <c r="D59" s="1" t="s">
        <v>245</v>
      </c>
      <c r="E59" s="2">
        <v>0</v>
      </c>
      <c r="F59" s="2">
        <v>0</v>
      </c>
      <c r="G59" s="2">
        <f t="shared" si="7"/>
        <v>0</v>
      </c>
      <c r="H59" s="2">
        <v>0</v>
      </c>
      <c r="I59" s="2">
        <v>8158.65</v>
      </c>
      <c r="J59" s="2">
        <v>0</v>
      </c>
      <c r="K59" s="2">
        <v>8813645.29</v>
      </c>
      <c r="L59" s="2">
        <f t="shared" si="8"/>
        <v>8821803.94</v>
      </c>
      <c r="M59" s="2">
        <v>0</v>
      </c>
      <c r="N59" s="2">
        <v>0</v>
      </c>
      <c r="O59" s="2">
        <v>0</v>
      </c>
      <c r="P59" s="2">
        <f t="shared" si="9"/>
        <v>0</v>
      </c>
      <c r="Q59" s="2">
        <v>0</v>
      </c>
      <c r="R59" s="2">
        <v>0</v>
      </c>
      <c r="S59" s="2">
        <v>0</v>
      </c>
      <c r="T59" s="2">
        <v>0</v>
      </c>
      <c r="U59" s="2">
        <f t="shared" si="10"/>
        <v>0</v>
      </c>
      <c r="V59" s="2">
        <v>0</v>
      </c>
      <c r="W59" s="119">
        <f t="shared" si="11"/>
        <v>8821803.94</v>
      </c>
      <c r="X59" s="2">
        <v>0</v>
      </c>
      <c r="Y59" s="168">
        <f t="shared" si="12"/>
        <v>8821803.94</v>
      </c>
    </row>
    <row r="60" spans="1:25" ht="12.75" hidden="1" outlineLevel="1">
      <c r="A60" s="2" t="s">
        <v>246</v>
      </c>
      <c r="C60" s="2" t="s">
        <v>247</v>
      </c>
      <c r="D60" s="1" t="s">
        <v>248</v>
      </c>
      <c r="E60" s="2">
        <v>0</v>
      </c>
      <c r="F60" s="2">
        <v>0</v>
      </c>
      <c r="G60" s="2">
        <f t="shared" si="7"/>
        <v>0</v>
      </c>
      <c r="H60" s="2">
        <v>0</v>
      </c>
      <c r="I60" s="2">
        <v>-3444.06</v>
      </c>
      <c r="J60" s="2">
        <v>0</v>
      </c>
      <c r="K60" s="2">
        <v>-683811.82</v>
      </c>
      <c r="L60" s="2">
        <f t="shared" si="8"/>
        <v>-687255.88</v>
      </c>
      <c r="M60" s="2">
        <v>0</v>
      </c>
      <c r="N60" s="2">
        <v>0</v>
      </c>
      <c r="O60" s="2">
        <v>0</v>
      </c>
      <c r="P60" s="2">
        <f t="shared" si="9"/>
        <v>0</v>
      </c>
      <c r="Q60" s="2">
        <v>0</v>
      </c>
      <c r="R60" s="2">
        <v>0</v>
      </c>
      <c r="S60" s="2">
        <v>0</v>
      </c>
      <c r="T60" s="2">
        <v>0</v>
      </c>
      <c r="U60" s="2">
        <f t="shared" si="10"/>
        <v>0</v>
      </c>
      <c r="V60" s="2">
        <v>0</v>
      </c>
      <c r="W60" s="119">
        <f t="shared" si="11"/>
        <v>-687255.88</v>
      </c>
      <c r="X60" s="2">
        <v>0</v>
      </c>
      <c r="Y60" s="168">
        <f t="shared" si="12"/>
        <v>-687255.88</v>
      </c>
    </row>
    <row r="61" spans="1:25" ht="12.75" customHeight="1" collapsed="1">
      <c r="A61" s="164" t="s">
        <v>249</v>
      </c>
      <c r="B61" s="30"/>
      <c r="C61" s="164" t="s">
        <v>2807</v>
      </c>
      <c r="D61" s="31"/>
      <c r="E61" s="32">
        <v>0</v>
      </c>
      <c r="F61" s="32">
        <v>0</v>
      </c>
      <c r="G61" s="36">
        <f t="shared" si="7"/>
        <v>0</v>
      </c>
      <c r="H61" s="36">
        <v>0</v>
      </c>
      <c r="I61" s="36">
        <v>986.7199999999971</v>
      </c>
      <c r="J61" s="36">
        <v>0</v>
      </c>
      <c r="K61" s="36">
        <v>8281840.789999999</v>
      </c>
      <c r="L61" s="36">
        <f t="shared" si="8"/>
        <v>8282827.509999999</v>
      </c>
      <c r="M61" s="36">
        <v>0</v>
      </c>
      <c r="N61" s="36">
        <v>0</v>
      </c>
      <c r="O61" s="36">
        <v>0</v>
      </c>
      <c r="P61" s="36">
        <f t="shared" si="9"/>
        <v>0</v>
      </c>
      <c r="Q61" s="36">
        <v>0</v>
      </c>
      <c r="R61" s="36">
        <v>0</v>
      </c>
      <c r="S61" s="36">
        <v>0</v>
      </c>
      <c r="T61" s="36">
        <v>0</v>
      </c>
      <c r="U61" s="36">
        <f t="shared" si="10"/>
        <v>0</v>
      </c>
      <c r="V61" s="36">
        <v>0</v>
      </c>
      <c r="W61" s="169">
        <f t="shared" si="11"/>
        <v>8282827.509999999</v>
      </c>
      <c r="X61" s="36">
        <v>0</v>
      </c>
      <c r="Y61" s="170">
        <f t="shared" si="12"/>
        <v>8282827.509999999</v>
      </c>
    </row>
    <row r="62" spans="1:25" ht="12.75" hidden="1" outlineLevel="1">
      <c r="A62" s="2" t="s">
        <v>250</v>
      </c>
      <c r="C62" s="2" t="s">
        <v>251</v>
      </c>
      <c r="D62" s="1" t="s">
        <v>252</v>
      </c>
      <c r="E62" s="2">
        <v>0</v>
      </c>
      <c r="F62" s="2">
        <v>0</v>
      </c>
      <c r="G62" s="2">
        <f t="shared" si="7"/>
        <v>0</v>
      </c>
      <c r="H62" s="2">
        <v>0</v>
      </c>
      <c r="I62" s="2">
        <v>0</v>
      </c>
      <c r="J62" s="2">
        <v>0</v>
      </c>
      <c r="K62" s="2">
        <v>0</v>
      </c>
      <c r="L62" s="2">
        <f t="shared" si="8"/>
        <v>0</v>
      </c>
      <c r="M62" s="2">
        <v>0</v>
      </c>
      <c r="N62" s="2">
        <v>0</v>
      </c>
      <c r="O62" s="2">
        <v>0</v>
      </c>
      <c r="P62" s="2">
        <f t="shared" si="9"/>
        <v>0</v>
      </c>
      <c r="Q62" s="2">
        <v>0</v>
      </c>
      <c r="R62" s="2">
        <v>0</v>
      </c>
      <c r="S62" s="2">
        <v>155620.18</v>
      </c>
      <c r="T62" s="2">
        <v>0</v>
      </c>
      <c r="U62" s="2">
        <f t="shared" si="10"/>
        <v>155620.18</v>
      </c>
      <c r="V62" s="2">
        <v>0</v>
      </c>
      <c r="W62" s="119">
        <f t="shared" si="11"/>
        <v>155620.18</v>
      </c>
      <c r="X62" s="2">
        <v>0</v>
      </c>
      <c r="Y62" s="168">
        <f t="shared" si="12"/>
        <v>155620.18</v>
      </c>
    </row>
    <row r="63" spans="1:25" ht="12.75" customHeight="1" collapsed="1">
      <c r="A63" s="164" t="s">
        <v>253</v>
      </c>
      <c r="B63" s="30"/>
      <c r="C63" s="164" t="s">
        <v>2903</v>
      </c>
      <c r="D63" s="31"/>
      <c r="E63" s="32">
        <v>0</v>
      </c>
      <c r="F63" s="32">
        <v>0</v>
      </c>
      <c r="G63" s="36">
        <f t="shared" si="7"/>
        <v>0</v>
      </c>
      <c r="H63" s="36">
        <v>0</v>
      </c>
      <c r="I63" s="36">
        <v>0</v>
      </c>
      <c r="J63" s="36">
        <v>0</v>
      </c>
      <c r="K63" s="36">
        <v>0</v>
      </c>
      <c r="L63" s="36">
        <f t="shared" si="8"/>
        <v>0</v>
      </c>
      <c r="M63" s="36">
        <v>0</v>
      </c>
      <c r="N63" s="36">
        <v>0</v>
      </c>
      <c r="O63" s="36">
        <v>0</v>
      </c>
      <c r="P63" s="36">
        <f t="shared" si="9"/>
        <v>0</v>
      </c>
      <c r="Q63" s="36">
        <v>0</v>
      </c>
      <c r="R63" s="36">
        <v>0</v>
      </c>
      <c r="S63" s="36">
        <v>155620.18</v>
      </c>
      <c r="T63" s="36">
        <v>0</v>
      </c>
      <c r="U63" s="36">
        <f t="shared" si="10"/>
        <v>155620.18</v>
      </c>
      <c r="V63" s="36">
        <v>0</v>
      </c>
      <c r="W63" s="169">
        <f t="shared" si="11"/>
        <v>155620.18</v>
      </c>
      <c r="X63" s="36">
        <v>0</v>
      </c>
      <c r="Y63" s="170">
        <f t="shared" si="12"/>
        <v>155620.18</v>
      </c>
    </row>
    <row r="64" spans="1:25" ht="12.75" hidden="1" outlineLevel="1">
      <c r="A64" s="2" t="s">
        <v>254</v>
      </c>
      <c r="C64" s="2" t="s">
        <v>255</v>
      </c>
      <c r="D64" s="1" t="s">
        <v>256</v>
      </c>
      <c r="E64" s="2">
        <v>0</v>
      </c>
      <c r="F64" s="2">
        <v>0</v>
      </c>
      <c r="G64" s="2">
        <f t="shared" si="7"/>
        <v>0</v>
      </c>
      <c r="H64" s="2">
        <v>0</v>
      </c>
      <c r="I64" s="2">
        <v>0</v>
      </c>
      <c r="J64" s="2">
        <v>0</v>
      </c>
      <c r="K64" s="2">
        <v>0</v>
      </c>
      <c r="L64" s="2">
        <f t="shared" si="8"/>
        <v>0</v>
      </c>
      <c r="M64" s="2">
        <v>0</v>
      </c>
      <c r="N64" s="2">
        <v>776584.23</v>
      </c>
      <c r="O64" s="2">
        <v>0</v>
      </c>
      <c r="P64" s="2">
        <f t="shared" si="9"/>
        <v>776584.23</v>
      </c>
      <c r="Q64" s="2">
        <v>0</v>
      </c>
      <c r="R64" s="2">
        <v>0</v>
      </c>
      <c r="S64" s="2">
        <v>0</v>
      </c>
      <c r="T64" s="2">
        <v>0</v>
      </c>
      <c r="U64" s="2">
        <f t="shared" si="10"/>
        <v>0</v>
      </c>
      <c r="V64" s="2">
        <v>0</v>
      </c>
      <c r="W64" s="119">
        <f t="shared" si="11"/>
        <v>776584.23</v>
      </c>
      <c r="X64" s="2">
        <v>0</v>
      </c>
      <c r="Y64" s="168">
        <f t="shared" si="12"/>
        <v>776584.23</v>
      </c>
    </row>
    <row r="65" spans="1:25" ht="12.75" hidden="1" outlineLevel="1">
      <c r="A65" s="2" t="s">
        <v>257</v>
      </c>
      <c r="C65" s="2" t="s">
        <v>258</v>
      </c>
      <c r="D65" s="1" t="s">
        <v>259</v>
      </c>
      <c r="E65" s="2">
        <v>0</v>
      </c>
      <c r="F65" s="2">
        <v>0</v>
      </c>
      <c r="G65" s="2">
        <f t="shared" si="7"/>
        <v>0</v>
      </c>
      <c r="H65" s="2">
        <v>0</v>
      </c>
      <c r="I65" s="2">
        <v>0</v>
      </c>
      <c r="J65" s="2">
        <v>0</v>
      </c>
      <c r="K65" s="2">
        <v>0</v>
      </c>
      <c r="L65" s="2">
        <f t="shared" si="8"/>
        <v>0</v>
      </c>
      <c r="M65" s="2">
        <v>0</v>
      </c>
      <c r="N65" s="2">
        <v>868585.96</v>
      </c>
      <c r="O65" s="2">
        <v>293344.49</v>
      </c>
      <c r="P65" s="2">
        <f t="shared" si="9"/>
        <v>1161930.45</v>
      </c>
      <c r="Q65" s="2">
        <v>0</v>
      </c>
      <c r="R65" s="2">
        <v>0</v>
      </c>
      <c r="S65" s="2">
        <v>0</v>
      </c>
      <c r="T65" s="2">
        <v>0</v>
      </c>
      <c r="U65" s="2">
        <f t="shared" si="10"/>
        <v>0</v>
      </c>
      <c r="V65" s="2">
        <v>0</v>
      </c>
      <c r="W65" s="119">
        <f t="shared" si="11"/>
        <v>1161930.45</v>
      </c>
      <c r="X65" s="2">
        <v>0</v>
      </c>
      <c r="Y65" s="168">
        <f t="shared" si="12"/>
        <v>1161930.45</v>
      </c>
    </row>
    <row r="66" spans="1:25" ht="12.75" hidden="1" outlineLevel="1">
      <c r="A66" s="2" t="s">
        <v>260</v>
      </c>
      <c r="C66" s="2" t="s">
        <v>261</v>
      </c>
      <c r="D66" s="1" t="s">
        <v>262</v>
      </c>
      <c r="E66" s="2">
        <v>0</v>
      </c>
      <c r="F66" s="2">
        <v>17800.51</v>
      </c>
      <c r="G66" s="2">
        <f t="shared" si="7"/>
        <v>17800.51</v>
      </c>
      <c r="H66" s="2">
        <v>1141.58</v>
      </c>
      <c r="I66" s="2">
        <v>0</v>
      </c>
      <c r="J66" s="2">
        <v>0</v>
      </c>
      <c r="K66" s="2">
        <v>0</v>
      </c>
      <c r="L66" s="2">
        <f t="shared" si="8"/>
        <v>0</v>
      </c>
      <c r="M66" s="2">
        <v>21318.01</v>
      </c>
      <c r="N66" s="2">
        <v>66543170.84</v>
      </c>
      <c r="O66" s="2">
        <v>15172150.4</v>
      </c>
      <c r="P66" s="2">
        <f t="shared" si="9"/>
        <v>81736639.25</v>
      </c>
      <c r="Q66" s="2">
        <v>0</v>
      </c>
      <c r="R66" s="2">
        <v>0</v>
      </c>
      <c r="S66" s="2">
        <v>0</v>
      </c>
      <c r="T66" s="2">
        <v>0</v>
      </c>
      <c r="U66" s="2">
        <f t="shared" si="10"/>
        <v>0</v>
      </c>
      <c r="V66" s="2">
        <v>82291.75</v>
      </c>
      <c r="W66" s="119">
        <f t="shared" si="11"/>
        <v>81837873.09</v>
      </c>
      <c r="X66" s="2">
        <v>0</v>
      </c>
      <c r="Y66" s="168">
        <f t="shared" si="12"/>
        <v>81837873.09</v>
      </c>
    </row>
    <row r="67" spans="1:25" ht="12.75" hidden="1" outlineLevel="1">
      <c r="A67" s="2" t="s">
        <v>263</v>
      </c>
      <c r="C67" s="2" t="s">
        <v>264</v>
      </c>
      <c r="D67" s="1" t="s">
        <v>265</v>
      </c>
      <c r="E67" s="2">
        <v>0</v>
      </c>
      <c r="F67" s="2">
        <v>0</v>
      </c>
      <c r="G67" s="2">
        <f t="shared" si="7"/>
        <v>0</v>
      </c>
      <c r="H67" s="2">
        <v>0</v>
      </c>
      <c r="I67" s="2">
        <v>0</v>
      </c>
      <c r="J67" s="2">
        <v>0</v>
      </c>
      <c r="K67" s="2">
        <v>0</v>
      </c>
      <c r="L67" s="2">
        <f t="shared" si="8"/>
        <v>0</v>
      </c>
      <c r="M67" s="2">
        <v>0</v>
      </c>
      <c r="N67" s="2">
        <v>1615680.01</v>
      </c>
      <c r="O67" s="2">
        <v>1248667.09</v>
      </c>
      <c r="P67" s="2">
        <f t="shared" si="9"/>
        <v>2864347.1</v>
      </c>
      <c r="Q67" s="2">
        <v>0</v>
      </c>
      <c r="R67" s="2">
        <v>0</v>
      </c>
      <c r="S67" s="2">
        <v>0</v>
      </c>
      <c r="T67" s="2">
        <v>0</v>
      </c>
      <c r="U67" s="2">
        <f t="shared" si="10"/>
        <v>0</v>
      </c>
      <c r="V67" s="2">
        <v>114054.25</v>
      </c>
      <c r="W67" s="119">
        <f t="shared" si="11"/>
        <v>2978401.35</v>
      </c>
      <c r="X67" s="2">
        <v>0</v>
      </c>
      <c r="Y67" s="168">
        <f t="shared" si="12"/>
        <v>2978401.35</v>
      </c>
    </row>
    <row r="68" spans="1:25" ht="12.75" hidden="1" outlineLevel="1">
      <c r="A68" s="2" t="s">
        <v>266</v>
      </c>
      <c r="C68" s="2" t="s">
        <v>267</v>
      </c>
      <c r="D68" s="1" t="s">
        <v>268</v>
      </c>
      <c r="E68" s="2">
        <v>0</v>
      </c>
      <c r="F68" s="2">
        <v>0</v>
      </c>
      <c r="G68" s="2">
        <f t="shared" si="7"/>
        <v>0</v>
      </c>
      <c r="H68" s="2">
        <v>0</v>
      </c>
      <c r="I68" s="2">
        <v>0</v>
      </c>
      <c r="J68" s="2">
        <v>0</v>
      </c>
      <c r="K68" s="2">
        <v>0</v>
      </c>
      <c r="L68" s="2">
        <f t="shared" si="8"/>
        <v>0</v>
      </c>
      <c r="M68" s="2">
        <v>0</v>
      </c>
      <c r="N68" s="2">
        <v>4701</v>
      </c>
      <c r="O68" s="2">
        <v>0</v>
      </c>
      <c r="P68" s="2">
        <f t="shared" si="9"/>
        <v>4701</v>
      </c>
      <c r="Q68" s="2">
        <v>0</v>
      </c>
      <c r="R68" s="2">
        <v>0</v>
      </c>
      <c r="S68" s="2">
        <v>0</v>
      </c>
      <c r="T68" s="2">
        <v>0</v>
      </c>
      <c r="U68" s="2">
        <f t="shared" si="10"/>
        <v>0</v>
      </c>
      <c r="V68" s="2">
        <v>0</v>
      </c>
      <c r="W68" s="119">
        <f t="shared" si="11"/>
        <v>4701</v>
      </c>
      <c r="X68" s="2">
        <v>0</v>
      </c>
      <c r="Y68" s="168">
        <f t="shared" si="12"/>
        <v>4701</v>
      </c>
    </row>
    <row r="69" spans="1:25" ht="12.75" hidden="1" outlineLevel="1">
      <c r="A69" s="2" t="s">
        <v>269</v>
      </c>
      <c r="C69" s="2" t="s">
        <v>270</v>
      </c>
      <c r="D69" s="1" t="s">
        <v>271</v>
      </c>
      <c r="E69" s="2">
        <v>17436554.94</v>
      </c>
      <c r="F69" s="2">
        <v>0</v>
      </c>
      <c r="G69" s="2">
        <f t="shared" si="7"/>
        <v>17436554.94</v>
      </c>
      <c r="H69" s="2">
        <v>0</v>
      </c>
      <c r="I69" s="2">
        <v>0</v>
      </c>
      <c r="J69" s="2">
        <v>0</v>
      </c>
      <c r="K69" s="2">
        <v>605686.35</v>
      </c>
      <c r="L69" s="2">
        <f t="shared" si="8"/>
        <v>605686.35</v>
      </c>
      <c r="M69" s="2">
        <v>0</v>
      </c>
      <c r="N69" s="2">
        <v>125836.14</v>
      </c>
      <c r="O69" s="2">
        <v>0</v>
      </c>
      <c r="P69" s="2">
        <f t="shared" si="9"/>
        <v>125836.14</v>
      </c>
      <c r="Q69" s="2">
        <v>3524852.21</v>
      </c>
      <c r="R69" s="2">
        <v>646941.56</v>
      </c>
      <c r="S69" s="2">
        <v>0</v>
      </c>
      <c r="T69" s="2">
        <v>0</v>
      </c>
      <c r="U69" s="2">
        <f t="shared" si="10"/>
        <v>4171793.77</v>
      </c>
      <c r="V69" s="2">
        <v>-46303.53</v>
      </c>
      <c r="W69" s="119">
        <f t="shared" si="11"/>
        <v>22293567.67</v>
      </c>
      <c r="X69" s="2">
        <v>0</v>
      </c>
      <c r="Y69" s="168">
        <f t="shared" si="12"/>
        <v>22293567.67</v>
      </c>
    </row>
    <row r="70" spans="1:25" ht="12.75" hidden="1" outlineLevel="1">
      <c r="A70" s="2" t="s">
        <v>272</v>
      </c>
      <c r="C70" s="2" t="s">
        <v>273</v>
      </c>
      <c r="D70" s="1" t="s">
        <v>274</v>
      </c>
      <c r="E70" s="2">
        <v>272566.47</v>
      </c>
      <c r="F70" s="2">
        <v>0</v>
      </c>
      <c r="G70" s="2">
        <f t="shared" si="7"/>
        <v>272566.47</v>
      </c>
      <c r="H70" s="2">
        <v>14462.65</v>
      </c>
      <c r="I70" s="2">
        <v>0</v>
      </c>
      <c r="J70" s="2">
        <v>0</v>
      </c>
      <c r="K70" s="2">
        <v>9468.03</v>
      </c>
      <c r="L70" s="2">
        <f t="shared" si="8"/>
        <v>9468.03</v>
      </c>
      <c r="M70" s="2">
        <v>0</v>
      </c>
      <c r="N70" s="2">
        <v>26083.68</v>
      </c>
      <c r="O70" s="2">
        <v>10008.95</v>
      </c>
      <c r="P70" s="2">
        <f t="shared" si="9"/>
        <v>36092.630000000005</v>
      </c>
      <c r="Q70" s="2">
        <v>55100.13</v>
      </c>
      <c r="R70" s="2">
        <v>10112.93</v>
      </c>
      <c r="S70" s="2">
        <v>0</v>
      </c>
      <c r="T70" s="2">
        <v>0</v>
      </c>
      <c r="U70" s="2">
        <f t="shared" si="10"/>
        <v>65213.06</v>
      </c>
      <c r="V70" s="2">
        <v>-227.73</v>
      </c>
      <c r="W70" s="119">
        <f t="shared" si="11"/>
        <v>397575.11000000004</v>
      </c>
      <c r="X70" s="2">
        <v>0</v>
      </c>
      <c r="Y70" s="168">
        <f t="shared" si="12"/>
        <v>397575.11000000004</v>
      </c>
    </row>
    <row r="71" spans="1:25" ht="12.75" customHeight="1" collapsed="1">
      <c r="A71" s="164" t="s">
        <v>275</v>
      </c>
      <c r="B71" s="30"/>
      <c r="C71" s="164" t="s">
        <v>2808</v>
      </c>
      <c r="D71" s="31"/>
      <c r="E71" s="32">
        <v>17709121.41</v>
      </c>
      <c r="F71" s="32">
        <v>17800.51</v>
      </c>
      <c r="G71" s="36">
        <f t="shared" si="7"/>
        <v>17726921.92</v>
      </c>
      <c r="H71" s="36">
        <v>15604.23</v>
      </c>
      <c r="I71" s="36">
        <v>0</v>
      </c>
      <c r="J71" s="36">
        <v>0</v>
      </c>
      <c r="K71" s="36">
        <v>615154.38</v>
      </c>
      <c r="L71" s="36">
        <f t="shared" si="8"/>
        <v>615154.38</v>
      </c>
      <c r="M71" s="36">
        <v>21318.01</v>
      </c>
      <c r="N71" s="36">
        <v>69960641.86000001</v>
      </c>
      <c r="O71" s="36">
        <v>16724170.930000002</v>
      </c>
      <c r="P71" s="36">
        <f t="shared" si="9"/>
        <v>86706130.80000003</v>
      </c>
      <c r="Q71" s="36">
        <v>3579952.34</v>
      </c>
      <c r="R71" s="36">
        <v>657054.49</v>
      </c>
      <c r="S71" s="36">
        <v>0</v>
      </c>
      <c r="T71" s="36">
        <v>0</v>
      </c>
      <c r="U71" s="36">
        <f t="shared" si="10"/>
        <v>4237006.83</v>
      </c>
      <c r="V71" s="36">
        <v>149814.74</v>
      </c>
      <c r="W71" s="169">
        <f t="shared" si="11"/>
        <v>109450632.90000002</v>
      </c>
      <c r="X71" s="36">
        <v>0</v>
      </c>
      <c r="Y71" s="170">
        <f t="shared" si="12"/>
        <v>109450632.90000002</v>
      </c>
    </row>
    <row r="72" spans="1:25" ht="12.75" hidden="1" outlineLevel="1">
      <c r="A72" s="2" t="s">
        <v>276</v>
      </c>
      <c r="C72" s="2" t="s">
        <v>277</v>
      </c>
      <c r="D72" s="1" t="s">
        <v>278</v>
      </c>
      <c r="E72" s="2">
        <v>0</v>
      </c>
      <c r="F72" s="2">
        <v>0</v>
      </c>
      <c r="G72" s="2">
        <f t="shared" si="7"/>
        <v>0</v>
      </c>
      <c r="H72" s="2">
        <v>0</v>
      </c>
      <c r="I72" s="2">
        <v>0</v>
      </c>
      <c r="J72" s="2">
        <v>0</v>
      </c>
      <c r="K72" s="2">
        <v>0</v>
      </c>
      <c r="L72" s="2">
        <f t="shared" si="8"/>
        <v>0</v>
      </c>
      <c r="M72" s="2">
        <v>0</v>
      </c>
      <c r="N72" s="2">
        <v>0</v>
      </c>
      <c r="O72" s="2">
        <v>0</v>
      </c>
      <c r="P72" s="2">
        <f t="shared" si="9"/>
        <v>0</v>
      </c>
      <c r="Q72" s="2">
        <v>0</v>
      </c>
      <c r="R72" s="2">
        <v>0</v>
      </c>
      <c r="S72" s="2">
        <v>0</v>
      </c>
      <c r="T72" s="2">
        <v>5363176.88</v>
      </c>
      <c r="U72" s="2">
        <f t="shared" si="10"/>
        <v>5363176.88</v>
      </c>
      <c r="V72" s="2">
        <v>0</v>
      </c>
      <c r="W72" s="119">
        <f t="shared" si="11"/>
        <v>5363176.88</v>
      </c>
      <c r="X72" s="2">
        <v>0</v>
      </c>
      <c r="Y72" s="168">
        <f t="shared" si="12"/>
        <v>5363176.88</v>
      </c>
    </row>
    <row r="73" spans="1:25" ht="12.75" hidden="1" outlineLevel="1">
      <c r="A73" s="2" t="s">
        <v>279</v>
      </c>
      <c r="C73" s="2" t="s">
        <v>280</v>
      </c>
      <c r="D73" s="1" t="s">
        <v>281</v>
      </c>
      <c r="E73" s="2">
        <v>0</v>
      </c>
      <c r="F73" s="2">
        <v>0</v>
      </c>
      <c r="G73" s="2">
        <f t="shared" si="7"/>
        <v>0</v>
      </c>
      <c r="H73" s="2">
        <v>0</v>
      </c>
      <c r="I73" s="2">
        <v>0</v>
      </c>
      <c r="J73" s="2">
        <v>0</v>
      </c>
      <c r="K73" s="2">
        <v>0</v>
      </c>
      <c r="L73" s="2">
        <f t="shared" si="8"/>
        <v>0</v>
      </c>
      <c r="M73" s="2">
        <v>0</v>
      </c>
      <c r="N73" s="2">
        <v>0</v>
      </c>
      <c r="O73" s="2">
        <v>0</v>
      </c>
      <c r="P73" s="2">
        <f t="shared" si="9"/>
        <v>0</v>
      </c>
      <c r="Q73" s="2">
        <v>0</v>
      </c>
      <c r="R73" s="2">
        <v>0</v>
      </c>
      <c r="S73" s="2">
        <v>0</v>
      </c>
      <c r="T73" s="2">
        <v>14675853.67</v>
      </c>
      <c r="U73" s="2">
        <f t="shared" si="10"/>
        <v>14675853.67</v>
      </c>
      <c r="V73" s="2">
        <v>0</v>
      </c>
      <c r="W73" s="119">
        <f t="shared" si="11"/>
        <v>14675853.67</v>
      </c>
      <c r="X73" s="2">
        <v>0</v>
      </c>
      <c r="Y73" s="168">
        <f t="shared" si="12"/>
        <v>14675853.67</v>
      </c>
    </row>
    <row r="74" spans="1:25" ht="12.75" hidden="1" outlineLevel="1">
      <c r="A74" s="2" t="s">
        <v>282</v>
      </c>
      <c r="C74" s="2" t="s">
        <v>283</v>
      </c>
      <c r="D74" s="1" t="s">
        <v>284</v>
      </c>
      <c r="E74" s="2">
        <v>0</v>
      </c>
      <c r="F74" s="2">
        <v>0</v>
      </c>
      <c r="G74" s="2">
        <f t="shared" si="7"/>
        <v>0</v>
      </c>
      <c r="H74" s="2">
        <v>0</v>
      </c>
      <c r="I74" s="2">
        <v>0</v>
      </c>
      <c r="J74" s="2">
        <v>0</v>
      </c>
      <c r="K74" s="2">
        <v>0</v>
      </c>
      <c r="L74" s="2">
        <f t="shared" si="8"/>
        <v>0</v>
      </c>
      <c r="M74" s="2">
        <v>0</v>
      </c>
      <c r="N74" s="2">
        <v>0</v>
      </c>
      <c r="O74" s="2">
        <v>0</v>
      </c>
      <c r="P74" s="2">
        <f t="shared" si="9"/>
        <v>0</v>
      </c>
      <c r="Q74" s="2">
        <v>0</v>
      </c>
      <c r="R74" s="2">
        <v>0</v>
      </c>
      <c r="S74" s="2">
        <v>0</v>
      </c>
      <c r="T74" s="2">
        <v>-7788431.61</v>
      </c>
      <c r="U74" s="2">
        <f t="shared" si="10"/>
        <v>-7788431.61</v>
      </c>
      <c r="V74" s="2">
        <v>0</v>
      </c>
      <c r="W74" s="119">
        <f t="shared" si="11"/>
        <v>-7788431.61</v>
      </c>
      <c r="X74" s="2">
        <v>0</v>
      </c>
      <c r="Y74" s="168">
        <f t="shared" si="12"/>
        <v>-7788431.61</v>
      </c>
    </row>
    <row r="75" spans="1:25" ht="12.75" hidden="1" outlineLevel="1">
      <c r="A75" s="2" t="s">
        <v>285</v>
      </c>
      <c r="C75" s="2" t="s">
        <v>286</v>
      </c>
      <c r="D75" s="1" t="s">
        <v>287</v>
      </c>
      <c r="E75" s="2">
        <v>0</v>
      </c>
      <c r="F75" s="2">
        <v>0</v>
      </c>
      <c r="G75" s="2">
        <f t="shared" si="7"/>
        <v>0</v>
      </c>
      <c r="H75" s="2">
        <v>0</v>
      </c>
      <c r="I75" s="2">
        <v>0</v>
      </c>
      <c r="J75" s="2">
        <v>0</v>
      </c>
      <c r="K75" s="2">
        <v>0</v>
      </c>
      <c r="L75" s="2">
        <f t="shared" si="8"/>
        <v>0</v>
      </c>
      <c r="M75" s="2">
        <v>0</v>
      </c>
      <c r="N75" s="2">
        <v>0</v>
      </c>
      <c r="O75" s="2">
        <v>0</v>
      </c>
      <c r="P75" s="2">
        <f t="shared" si="9"/>
        <v>0</v>
      </c>
      <c r="Q75" s="2">
        <v>0</v>
      </c>
      <c r="R75" s="2">
        <v>0</v>
      </c>
      <c r="S75" s="2">
        <v>0</v>
      </c>
      <c r="T75" s="2">
        <v>184132205.1</v>
      </c>
      <c r="U75" s="2">
        <f t="shared" si="10"/>
        <v>184132205.1</v>
      </c>
      <c r="V75" s="2">
        <v>0</v>
      </c>
      <c r="W75" s="119">
        <f t="shared" si="11"/>
        <v>184132205.1</v>
      </c>
      <c r="X75" s="2">
        <v>0</v>
      </c>
      <c r="Y75" s="168">
        <f t="shared" si="12"/>
        <v>184132205.1</v>
      </c>
    </row>
    <row r="76" spans="1:25" ht="12.75" hidden="1" outlineLevel="1">
      <c r="A76" s="2" t="s">
        <v>288</v>
      </c>
      <c r="C76" s="2" t="s">
        <v>289</v>
      </c>
      <c r="D76" s="1" t="s">
        <v>290</v>
      </c>
      <c r="E76" s="2">
        <v>0</v>
      </c>
      <c r="F76" s="2">
        <v>0</v>
      </c>
      <c r="G76" s="2">
        <f t="shared" si="7"/>
        <v>0</v>
      </c>
      <c r="H76" s="2">
        <v>0</v>
      </c>
      <c r="I76" s="2">
        <v>0</v>
      </c>
      <c r="J76" s="2">
        <v>0</v>
      </c>
      <c r="K76" s="2">
        <v>0</v>
      </c>
      <c r="L76" s="2">
        <f t="shared" si="8"/>
        <v>0</v>
      </c>
      <c r="M76" s="2">
        <v>0</v>
      </c>
      <c r="N76" s="2">
        <v>0</v>
      </c>
      <c r="O76" s="2">
        <v>0</v>
      </c>
      <c r="P76" s="2">
        <f t="shared" si="9"/>
        <v>0</v>
      </c>
      <c r="Q76" s="2">
        <v>0</v>
      </c>
      <c r="R76" s="2">
        <v>0</v>
      </c>
      <c r="S76" s="2">
        <v>0</v>
      </c>
      <c r="T76" s="2">
        <v>-63769118.29</v>
      </c>
      <c r="U76" s="2">
        <f t="shared" si="10"/>
        <v>-63769118.29</v>
      </c>
      <c r="V76" s="2">
        <v>0</v>
      </c>
      <c r="W76" s="119">
        <f t="shared" si="11"/>
        <v>-63769118.29</v>
      </c>
      <c r="X76" s="2">
        <v>0</v>
      </c>
      <c r="Y76" s="168">
        <f t="shared" si="12"/>
        <v>-63769118.29</v>
      </c>
    </row>
    <row r="77" spans="1:25" ht="12.75" hidden="1" outlineLevel="1">
      <c r="A77" s="2" t="s">
        <v>291</v>
      </c>
      <c r="C77" s="2" t="s">
        <v>292</v>
      </c>
      <c r="D77" s="1" t="s">
        <v>293</v>
      </c>
      <c r="E77" s="2">
        <v>0</v>
      </c>
      <c r="F77" s="2">
        <v>0</v>
      </c>
      <c r="G77" s="2">
        <f t="shared" si="7"/>
        <v>0</v>
      </c>
      <c r="H77" s="2">
        <v>0</v>
      </c>
      <c r="I77" s="2">
        <v>0</v>
      </c>
      <c r="J77" s="2">
        <v>0</v>
      </c>
      <c r="K77" s="2">
        <v>0</v>
      </c>
      <c r="L77" s="2">
        <f t="shared" si="8"/>
        <v>0</v>
      </c>
      <c r="M77" s="2">
        <v>0</v>
      </c>
      <c r="N77" s="2">
        <v>0</v>
      </c>
      <c r="O77" s="2">
        <v>0</v>
      </c>
      <c r="P77" s="2">
        <f t="shared" si="9"/>
        <v>0</v>
      </c>
      <c r="Q77" s="2">
        <v>0</v>
      </c>
      <c r="R77" s="2">
        <v>0</v>
      </c>
      <c r="S77" s="2">
        <v>0</v>
      </c>
      <c r="T77" s="2">
        <v>39541031.29</v>
      </c>
      <c r="U77" s="2">
        <f t="shared" si="10"/>
        <v>39541031.29</v>
      </c>
      <c r="V77" s="2">
        <v>0</v>
      </c>
      <c r="W77" s="119">
        <f t="shared" si="11"/>
        <v>39541031.29</v>
      </c>
      <c r="X77" s="2">
        <v>0</v>
      </c>
      <c r="Y77" s="168">
        <f t="shared" si="12"/>
        <v>39541031.29</v>
      </c>
    </row>
    <row r="78" spans="1:25" ht="12.75" hidden="1" outlineLevel="1">
      <c r="A78" s="2" t="s">
        <v>294</v>
      </c>
      <c r="C78" s="2" t="s">
        <v>295</v>
      </c>
      <c r="D78" s="1" t="s">
        <v>296</v>
      </c>
      <c r="E78" s="2">
        <v>0</v>
      </c>
      <c r="F78" s="2">
        <v>0</v>
      </c>
      <c r="G78" s="2">
        <f t="shared" si="7"/>
        <v>0</v>
      </c>
      <c r="H78" s="2">
        <v>0</v>
      </c>
      <c r="I78" s="2">
        <v>0</v>
      </c>
      <c r="J78" s="2">
        <v>0</v>
      </c>
      <c r="K78" s="2">
        <v>0</v>
      </c>
      <c r="L78" s="2">
        <f t="shared" si="8"/>
        <v>0</v>
      </c>
      <c r="M78" s="2">
        <v>0</v>
      </c>
      <c r="N78" s="2">
        <v>0</v>
      </c>
      <c r="O78" s="2">
        <v>0</v>
      </c>
      <c r="P78" s="2">
        <f t="shared" si="9"/>
        <v>0</v>
      </c>
      <c r="Q78" s="2">
        <v>0</v>
      </c>
      <c r="R78" s="2">
        <v>0</v>
      </c>
      <c r="S78" s="2">
        <v>0</v>
      </c>
      <c r="T78" s="2">
        <v>378</v>
      </c>
      <c r="U78" s="2">
        <f t="shared" si="10"/>
        <v>378</v>
      </c>
      <c r="V78" s="2">
        <v>0</v>
      </c>
      <c r="W78" s="119">
        <f t="shared" si="11"/>
        <v>378</v>
      </c>
      <c r="X78" s="2">
        <v>0</v>
      </c>
      <c r="Y78" s="168">
        <f t="shared" si="12"/>
        <v>378</v>
      </c>
    </row>
    <row r="79" spans="1:25" ht="12.75" hidden="1" outlineLevel="1">
      <c r="A79" s="2" t="s">
        <v>297</v>
      </c>
      <c r="C79" s="2" t="s">
        <v>298</v>
      </c>
      <c r="D79" s="1" t="s">
        <v>299</v>
      </c>
      <c r="E79" s="2">
        <v>0</v>
      </c>
      <c r="F79" s="2">
        <v>0</v>
      </c>
      <c r="G79" s="2">
        <f t="shared" si="7"/>
        <v>0</v>
      </c>
      <c r="H79" s="2">
        <v>0</v>
      </c>
      <c r="I79" s="2">
        <v>0</v>
      </c>
      <c r="J79" s="2">
        <v>0</v>
      </c>
      <c r="K79" s="2">
        <v>0</v>
      </c>
      <c r="L79" s="2">
        <f t="shared" si="8"/>
        <v>0</v>
      </c>
      <c r="M79" s="2">
        <v>0</v>
      </c>
      <c r="N79" s="2">
        <v>0</v>
      </c>
      <c r="O79" s="2">
        <v>0</v>
      </c>
      <c r="P79" s="2">
        <f t="shared" si="9"/>
        <v>0</v>
      </c>
      <c r="Q79" s="2">
        <v>0</v>
      </c>
      <c r="R79" s="2">
        <v>0</v>
      </c>
      <c r="S79" s="2">
        <v>0</v>
      </c>
      <c r="T79" s="2">
        <v>-24812316.51</v>
      </c>
      <c r="U79" s="2">
        <f t="shared" si="10"/>
        <v>-24812316.51</v>
      </c>
      <c r="V79" s="2">
        <v>0</v>
      </c>
      <c r="W79" s="119">
        <f t="shared" si="11"/>
        <v>-24812316.51</v>
      </c>
      <c r="X79" s="2">
        <v>0</v>
      </c>
      <c r="Y79" s="168">
        <f t="shared" si="12"/>
        <v>-24812316.51</v>
      </c>
    </row>
    <row r="80" spans="1:25" ht="12.75" hidden="1" outlineLevel="1">
      <c r="A80" s="2" t="s">
        <v>300</v>
      </c>
      <c r="C80" s="2" t="s">
        <v>301</v>
      </c>
      <c r="D80" s="1" t="s">
        <v>302</v>
      </c>
      <c r="E80" s="2">
        <v>0</v>
      </c>
      <c r="F80" s="2">
        <v>0</v>
      </c>
      <c r="G80" s="2">
        <f t="shared" si="7"/>
        <v>0</v>
      </c>
      <c r="H80" s="2">
        <v>0</v>
      </c>
      <c r="I80" s="2">
        <v>0</v>
      </c>
      <c r="J80" s="2">
        <v>0</v>
      </c>
      <c r="K80" s="2">
        <v>0</v>
      </c>
      <c r="L80" s="2">
        <f t="shared" si="8"/>
        <v>0</v>
      </c>
      <c r="M80" s="2">
        <v>0</v>
      </c>
      <c r="N80" s="2">
        <v>0</v>
      </c>
      <c r="O80" s="2">
        <v>0</v>
      </c>
      <c r="P80" s="2">
        <f t="shared" si="9"/>
        <v>0</v>
      </c>
      <c r="Q80" s="2">
        <v>0</v>
      </c>
      <c r="R80" s="2">
        <v>0</v>
      </c>
      <c r="S80" s="2">
        <v>0</v>
      </c>
      <c r="T80" s="2">
        <v>20558500.21</v>
      </c>
      <c r="U80" s="2">
        <f t="shared" si="10"/>
        <v>20558500.21</v>
      </c>
      <c r="V80" s="2">
        <v>0</v>
      </c>
      <c r="W80" s="119">
        <f t="shared" si="11"/>
        <v>20558500.21</v>
      </c>
      <c r="X80" s="2">
        <v>0</v>
      </c>
      <c r="Y80" s="168">
        <f t="shared" si="12"/>
        <v>20558500.21</v>
      </c>
    </row>
    <row r="81" spans="1:25" ht="12.75" hidden="1" outlineLevel="1">
      <c r="A81" s="2" t="s">
        <v>303</v>
      </c>
      <c r="C81" s="2" t="s">
        <v>304</v>
      </c>
      <c r="D81" s="1" t="s">
        <v>305</v>
      </c>
      <c r="E81" s="2">
        <v>0</v>
      </c>
      <c r="F81" s="2">
        <v>0</v>
      </c>
      <c r="G81" s="2">
        <f t="shared" si="7"/>
        <v>0</v>
      </c>
      <c r="H81" s="2">
        <v>0</v>
      </c>
      <c r="I81" s="2">
        <v>0</v>
      </c>
      <c r="J81" s="2">
        <v>0</v>
      </c>
      <c r="K81" s="2">
        <v>0</v>
      </c>
      <c r="L81" s="2">
        <f t="shared" si="8"/>
        <v>0</v>
      </c>
      <c r="M81" s="2">
        <v>0</v>
      </c>
      <c r="N81" s="2">
        <v>0</v>
      </c>
      <c r="O81" s="2">
        <v>0</v>
      </c>
      <c r="P81" s="2">
        <f t="shared" si="9"/>
        <v>0</v>
      </c>
      <c r="Q81" s="2">
        <v>0</v>
      </c>
      <c r="R81" s="2">
        <v>0</v>
      </c>
      <c r="S81" s="2">
        <v>0</v>
      </c>
      <c r="T81" s="2">
        <v>-11530413.37</v>
      </c>
      <c r="U81" s="2">
        <f t="shared" si="10"/>
        <v>-11530413.37</v>
      </c>
      <c r="V81" s="2">
        <v>0</v>
      </c>
      <c r="W81" s="119">
        <f t="shared" si="11"/>
        <v>-11530413.37</v>
      </c>
      <c r="X81" s="2">
        <v>0</v>
      </c>
      <c r="Y81" s="168">
        <f t="shared" si="12"/>
        <v>-11530413.37</v>
      </c>
    </row>
    <row r="82" spans="1:25" ht="12.75" hidden="1" outlineLevel="1">
      <c r="A82" s="2" t="s">
        <v>306</v>
      </c>
      <c r="C82" s="2" t="s">
        <v>307</v>
      </c>
      <c r="D82" s="1" t="s">
        <v>308</v>
      </c>
      <c r="E82" s="2">
        <v>0</v>
      </c>
      <c r="F82" s="2">
        <v>0</v>
      </c>
      <c r="G82" s="2">
        <f t="shared" si="7"/>
        <v>0</v>
      </c>
      <c r="H82" s="2">
        <v>0</v>
      </c>
      <c r="I82" s="2">
        <v>0</v>
      </c>
      <c r="J82" s="2">
        <v>0</v>
      </c>
      <c r="K82" s="2">
        <v>0</v>
      </c>
      <c r="L82" s="2">
        <f t="shared" si="8"/>
        <v>0</v>
      </c>
      <c r="M82" s="2">
        <v>0</v>
      </c>
      <c r="N82" s="2">
        <v>0</v>
      </c>
      <c r="O82" s="2">
        <v>0</v>
      </c>
      <c r="P82" s="2">
        <f t="shared" si="9"/>
        <v>0</v>
      </c>
      <c r="Q82" s="2">
        <v>0</v>
      </c>
      <c r="R82" s="2">
        <v>0</v>
      </c>
      <c r="S82" s="2">
        <v>0</v>
      </c>
      <c r="T82" s="2">
        <v>7367402.75</v>
      </c>
      <c r="U82" s="2">
        <f t="shared" si="10"/>
        <v>7367402.75</v>
      </c>
      <c r="V82" s="2">
        <v>0</v>
      </c>
      <c r="W82" s="119">
        <f t="shared" si="11"/>
        <v>7367402.75</v>
      </c>
      <c r="X82" s="2">
        <v>0</v>
      </c>
      <c r="Y82" s="168">
        <f t="shared" si="12"/>
        <v>7367402.75</v>
      </c>
    </row>
    <row r="83" spans="1:25" ht="12.75" hidden="1" outlineLevel="1">
      <c r="A83" s="2" t="s">
        <v>309</v>
      </c>
      <c r="C83" s="2" t="s">
        <v>310</v>
      </c>
      <c r="D83" s="1" t="s">
        <v>311</v>
      </c>
      <c r="E83" s="2">
        <v>0</v>
      </c>
      <c r="F83" s="2">
        <v>0</v>
      </c>
      <c r="G83" s="2">
        <f t="shared" si="7"/>
        <v>0</v>
      </c>
      <c r="H83" s="2">
        <v>0</v>
      </c>
      <c r="I83" s="2">
        <v>0</v>
      </c>
      <c r="J83" s="2">
        <v>0</v>
      </c>
      <c r="K83" s="2">
        <v>0</v>
      </c>
      <c r="L83" s="2">
        <f t="shared" si="8"/>
        <v>0</v>
      </c>
      <c r="M83" s="2">
        <v>0</v>
      </c>
      <c r="N83" s="2">
        <v>0</v>
      </c>
      <c r="O83" s="2">
        <v>0</v>
      </c>
      <c r="P83" s="2">
        <f t="shared" si="9"/>
        <v>0</v>
      </c>
      <c r="Q83" s="2">
        <v>0</v>
      </c>
      <c r="R83" s="2">
        <v>0</v>
      </c>
      <c r="S83" s="2">
        <v>0</v>
      </c>
      <c r="T83" s="2">
        <v>166093</v>
      </c>
      <c r="U83" s="2">
        <f t="shared" si="10"/>
        <v>166093</v>
      </c>
      <c r="V83" s="2">
        <v>0</v>
      </c>
      <c r="W83" s="119">
        <f t="shared" si="11"/>
        <v>166093</v>
      </c>
      <c r="X83" s="2">
        <v>0</v>
      </c>
      <c r="Y83" s="168">
        <f t="shared" si="12"/>
        <v>166093</v>
      </c>
    </row>
    <row r="84" spans="1:25" ht="12.75" customHeight="1" collapsed="1">
      <c r="A84" s="164" t="s">
        <v>312</v>
      </c>
      <c r="B84" s="30"/>
      <c r="C84" s="164" t="s">
        <v>2783</v>
      </c>
      <c r="D84" s="31"/>
      <c r="E84" s="32">
        <v>0</v>
      </c>
      <c r="F84" s="32">
        <v>0</v>
      </c>
      <c r="G84" s="36">
        <f t="shared" si="7"/>
        <v>0</v>
      </c>
      <c r="H84" s="36">
        <v>0</v>
      </c>
      <c r="I84" s="36">
        <v>0</v>
      </c>
      <c r="J84" s="36">
        <v>0</v>
      </c>
      <c r="K84" s="36">
        <v>0</v>
      </c>
      <c r="L84" s="36">
        <f t="shared" si="8"/>
        <v>0</v>
      </c>
      <c r="M84" s="36">
        <v>0</v>
      </c>
      <c r="N84" s="36">
        <v>0</v>
      </c>
      <c r="O84" s="36">
        <v>0</v>
      </c>
      <c r="P84" s="36">
        <f t="shared" si="9"/>
        <v>0</v>
      </c>
      <c r="Q84" s="36">
        <v>0</v>
      </c>
      <c r="R84" s="36">
        <v>0</v>
      </c>
      <c r="S84" s="36">
        <v>0</v>
      </c>
      <c r="T84" s="36">
        <v>163904361.12</v>
      </c>
      <c r="U84" s="36">
        <f t="shared" si="10"/>
        <v>163904361.12</v>
      </c>
      <c r="V84" s="36">
        <v>0</v>
      </c>
      <c r="W84" s="169">
        <f t="shared" si="11"/>
        <v>163904361.12</v>
      </c>
      <c r="X84" s="36">
        <v>0</v>
      </c>
      <c r="Y84" s="170">
        <f t="shared" si="12"/>
        <v>163904361.12</v>
      </c>
    </row>
    <row r="85" spans="1:25" ht="12.75" customHeight="1">
      <c r="A85" s="1"/>
      <c r="B85" s="30"/>
      <c r="C85" s="164"/>
      <c r="D85" s="31"/>
      <c r="E85" s="32"/>
      <c r="F85" s="32"/>
      <c r="G85" s="36"/>
      <c r="H85" s="36"/>
      <c r="I85" s="36"/>
      <c r="J85" s="36"/>
      <c r="K85" s="36"/>
      <c r="L85" s="39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69"/>
      <c r="X85" s="36"/>
      <c r="Y85" s="170"/>
    </row>
    <row r="86" spans="1:25" s="171" customFormat="1" ht="12.75" customHeight="1">
      <c r="A86" s="29"/>
      <c r="B86" s="23" t="s">
        <v>313</v>
      </c>
      <c r="C86" s="163"/>
      <c r="D86" s="24"/>
      <c r="E86" s="27">
        <f aca="true" t="shared" si="13" ref="E86:Y86">+E56+E61+E63+E71+E84+E54</f>
        <v>17709121.41</v>
      </c>
      <c r="F86" s="27">
        <f t="shared" si="13"/>
        <v>17800.51</v>
      </c>
      <c r="G86" s="39">
        <f t="shared" si="13"/>
        <v>17726921.92</v>
      </c>
      <c r="H86" s="39">
        <f t="shared" si="13"/>
        <v>4657035.760000001</v>
      </c>
      <c r="I86" s="39">
        <f t="shared" si="13"/>
        <v>986.7199999999971</v>
      </c>
      <c r="J86" s="39">
        <f t="shared" si="13"/>
        <v>0</v>
      </c>
      <c r="K86" s="39">
        <f t="shared" si="13"/>
        <v>8896995.17</v>
      </c>
      <c r="L86" s="39">
        <f t="shared" si="13"/>
        <v>8897981.889999999</v>
      </c>
      <c r="M86" s="39">
        <f t="shared" si="13"/>
        <v>21318.01</v>
      </c>
      <c r="N86" s="39">
        <f t="shared" si="13"/>
        <v>69960641.86000001</v>
      </c>
      <c r="O86" s="39">
        <f t="shared" si="13"/>
        <v>16724170.930000002</v>
      </c>
      <c r="P86" s="39">
        <f t="shared" si="13"/>
        <v>86706130.80000003</v>
      </c>
      <c r="Q86" s="39">
        <f t="shared" si="13"/>
        <v>3579952.34</v>
      </c>
      <c r="R86" s="39">
        <f t="shared" si="13"/>
        <v>657054.49</v>
      </c>
      <c r="S86" s="39">
        <f t="shared" si="13"/>
        <v>155620.18</v>
      </c>
      <c r="T86" s="39">
        <f t="shared" si="13"/>
        <v>163904361.12</v>
      </c>
      <c r="U86" s="39">
        <f t="shared" si="13"/>
        <v>168296988.13</v>
      </c>
      <c r="V86" s="39">
        <f t="shared" si="13"/>
        <v>149814.74</v>
      </c>
      <c r="W86" s="172">
        <f t="shared" si="13"/>
        <v>286434873.24</v>
      </c>
      <c r="X86" s="39">
        <f t="shared" si="13"/>
        <v>0</v>
      </c>
      <c r="Y86" s="39">
        <f t="shared" si="13"/>
        <v>286434873.24</v>
      </c>
    </row>
    <row r="87" spans="1:25" ht="12.75" customHeight="1">
      <c r="A87" s="1"/>
      <c r="B87" s="30"/>
      <c r="C87" s="164"/>
      <c r="D87" s="31"/>
      <c r="E87" s="32"/>
      <c r="F87" s="32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169"/>
      <c r="X87" s="36"/>
      <c r="Y87" s="36"/>
    </row>
    <row r="88" spans="1:25" s="171" customFormat="1" ht="12.75" customHeight="1">
      <c r="A88" s="29"/>
      <c r="B88" s="23" t="s">
        <v>314</v>
      </c>
      <c r="C88" s="163"/>
      <c r="D88" s="24"/>
      <c r="E88" s="27">
        <f aca="true" t="shared" si="14" ref="E88:K88">+E51+E86</f>
        <v>25912143.47</v>
      </c>
      <c r="F88" s="27">
        <f t="shared" si="14"/>
        <v>522829.23000000004</v>
      </c>
      <c r="G88" s="41">
        <f t="shared" si="14"/>
        <v>26434972.700000003</v>
      </c>
      <c r="H88" s="41">
        <f t="shared" si="14"/>
        <v>17923383.41</v>
      </c>
      <c r="I88" s="41">
        <f t="shared" si="14"/>
        <v>32630.659999999996</v>
      </c>
      <c r="J88" s="41">
        <f t="shared" si="14"/>
        <v>0</v>
      </c>
      <c r="K88" s="41">
        <f t="shared" si="14"/>
        <v>11360423.52</v>
      </c>
      <c r="L88" s="41">
        <f>I88+J88+K88</f>
        <v>11393054.18</v>
      </c>
      <c r="M88" s="41">
        <f>+M51+M86</f>
        <v>21318.149999999998</v>
      </c>
      <c r="N88" s="41">
        <f>+N51+N86</f>
        <v>83824738.51000002</v>
      </c>
      <c r="O88" s="41">
        <f>+O51+O86</f>
        <v>16905494.610000003</v>
      </c>
      <c r="P88" s="41">
        <f>M88+N88+O88</f>
        <v>100751551.27000003</v>
      </c>
      <c r="Q88" s="41">
        <f aca="true" t="shared" si="15" ref="Q88:Y88">+Q51+Q86</f>
        <v>5429330.63</v>
      </c>
      <c r="R88" s="41">
        <f t="shared" si="15"/>
        <v>1054032.78</v>
      </c>
      <c r="S88" s="41">
        <f t="shared" si="15"/>
        <v>155620.18</v>
      </c>
      <c r="T88" s="41">
        <f t="shared" si="15"/>
        <v>163904361.12</v>
      </c>
      <c r="U88" s="41">
        <f t="shared" si="15"/>
        <v>170543344.71</v>
      </c>
      <c r="V88" s="41">
        <f t="shared" si="15"/>
        <v>273052.12</v>
      </c>
      <c r="W88" s="173">
        <f t="shared" si="15"/>
        <v>327319358.39</v>
      </c>
      <c r="X88" s="41">
        <f t="shared" si="15"/>
        <v>0</v>
      </c>
      <c r="Y88" s="41">
        <f t="shared" si="15"/>
        <v>327319358.39</v>
      </c>
    </row>
    <row r="89" spans="1:25" ht="12.75" customHeight="1">
      <c r="A89" s="1"/>
      <c r="B89" s="30"/>
      <c r="C89" s="164"/>
      <c r="D89" s="31"/>
      <c r="E89" s="32"/>
      <c r="F89" s="32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169"/>
      <c r="X89" s="32"/>
      <c r="Y89" s="157"/>
    </row>
    <row r="90" spans="1:25" ht="12.75" customHeight="1">
      <c r="A90" s="29"/>
      <c r="B90" s="23" t="s">
        <v>2810</v>
      </c>
      <c r="C90" s="163"/>
      <c r="D90" s="24"/>
      <c r="E90" s="27"/>
      <c r="F90" s="27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72"/>
      <c r="X90" s="27"/>
      <c r="Y90" s="157"/>
    </row>
    <row r="91" spans="1:25" ht="12.75" customHeight="1">
      <c r="A91" s="1"/>
      <c r="B91" s="23"/>
      <c r="C91" s="163"/>
      <c r="D91" s="24"/>
      <c r="E91" s="32"/>
      <c r="F91" s="32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169"/>
      <c r="X91" s="32"/>
      <c r="Y91" s="157"/>
    </row>
    <row r="92" spans="1:25" ht="12.75" customHeight="1">
      <c r="A92" s="29"/>
      <c r="B92" s="23" t="s">
        <v>2811</v>
      </c>
      <c r="C92" s="163"/>
      <c r="D92" s="24"/>
      <c r="E92" s="27"/>
      <c r="F92" s="27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172"/>
      <c r="X92" s="27"/>
      <c r="Y92" s="157"/>
    </row>
    <row r="93" spans="1:25" ht="12.75" hidden="1" outlineLevel="1">
      <c r="A93" s="2" t="s">
        <v>315</v>
      </c>
      <c r="C93" s="2" t="s">
        <v>316</v>
      </c>
      <c r="D93" s="1" t="s">
        <v>317</v>
      </c>
      <c r="E93" s="2">
        <v>394752.97</v>
      </c>
      <c r="F93" s="2">
        <v>0</v>
      </c>
      <c r="G93" s="2">
        <f aca="true" t="shared" si="16" ref="G93:G109">E93+F93</f>
        <v>394752.97</v>
      </c>
      <c r="H93" s="2">
        <v>29574.06</v>
      </c>
      <c r="I93" s="2">
        <v>1321.91</v>
      </c>
      <c r="J93" s="2">
        <v>0</v>
      </c>
      <c r="K93" s="2">
        <v>0</v>
      </c>
      <c r="L93" s="2">
        <f aca="true" t="shared" si="17" ref="L93:L109">I93+J93+K93</f>
        <v>1321.91</v>
      </c>
      <c r="M93" s="2">
        <v>0</v>
      </c>
      <c r="N93" s="2">
        <v>0</v>
      </c>
      <c r="O93" s="2">
        <v>0</v>
      </c>
      <c r="P93" s="2">
        <f aca="true" t="shared" si="18" ref="P93:P117">M93+N93+O93</f>
        <v>0</v>
      </c>
      <c r="Q93" s="2">
        <v>0</v>
      </c>
      <c r="R93" s="2">
        <v>3983</v>
      </c>
      <c r="S93" s="2">
        <v>0</v>
      </c>
      <c r="T93" s="2">
        <v>0</v>
      </c>
      <c r="U93" s="2">
        <f aca="true" t="shared" si="19" ref="U93:U109">Q93+R93+S93+T93</f>
        <v>3983</v>
      </c>
      <c r="V93" s="2">
        <v>3132.3</v>
      </c>
      <c r="W93" s="119">
        <f aca="true" t="shared" si="20" ref="W93:W117">G93+H93+L93+P93+U93+V93</f>
        <v>432764.23999999993</v>
      </c>
      <c r="X93" s="2">
        <v>0</v>
      </c>
      <c r="Y93" s="168">
        <f aca="true" t="shared" si="21" ref="Y93:Y117">W93+X93</f>
        <v>432764.23999999993</v>
      </c>
    </row>
    <row r="94" spans="1:25" ht="12.75" hidden="1" outlineLevel="1">
      <c r="A94" s="2" t="s">
        <v>318</v>
      </c>
      <c r="C94" s="2" t="s">
        <v>319</v>
      </c>
      <c r="D94" s="1" t="s">
        <v>320</v>
      </c>
      <c r="E94" s="2">
        <v>312931.8</v>
      </c>
      <c r="F94" s="2">
        <v>100.99</v>
      </c>
      <c r="G94" s="2">
        <f t="shared" si="16"/>
        <v>313032.79</v>
      </c>
      <c r="H94" s="2">
        <v>441364.13</v>
      </c>
      <c r="I94" s="2">
        <v>0</v>
      </c>
      <c r="J94" s="2">
        <v>0</v>
      </c>
      <c r="K94" s="2">
        <v>0</v>
      </c>
      <c r="L94" s="2">
        <f t="shared" si="17"/>
        <v>0</v>
      </c>
      <c r="M94" s="2">
        <v>0</v>
      </c>
      <c r="N94" s="2">
        <v>0</v>
      </c>
      <c r="O94" s="2">
        <v>0</v>
      </c>
      <c r="P94" s="2">
        <f t="shared" si="18"/>
        <v>0</v>
      </c>
      <c r="Q94" s="2">
        <v>0</v>
      </c>
      <c r="R94" s="2">
        <v>954040.19</v>
      </c>
      <c r="S94" s="2">
        <v>0</v>
      </c>
      <c r="T94" s="2">
        <v>0</v>
      </c>
      <c r="U94" s="2">
        <f t="shared" si="19"/>
        <v>954040.19</v>
      </c>
      <c r="V94" s="2">
        <v>2359.54</v>
      </c>
      <c r="W94" s="119">
        <f t="shared" si="20"/>
        <v>1710796.65</v>
      </c>
      <c r="X94" s="2">
        <v>0</v>
      </c>
      <c r="Y94" s="168">
        <f t="shared" si="21"/>
        <v>1710796.65</v>
      </c>
    </row>
    <row r="95" spans="1:25" ht="12.75" hidden="1" outlineLevel="1">
      <c r="A95" s="2" t="s">
        <v>321</v>
      </c>
      <c r="C95" s="2" t="s">
        <v>322</v>
      </c>
      <c r="D95" s="1" t="s">
        <v>323</v>
      </c>
      <c r="E95" s="2">
        <v>58411</v>
      </c>
      <c r="F95" s="2">
        <v>0</v>
      </c>
      <c r="G95" s="2">
        <f t="shared" si="16"/>
        <v>58411</v>
      </c>
      <c r="H95" s="2">
        <v>0</v>
      </c>
      <c r="I95" s="2">
        <v>0</v>
      </c>
      <c r="J95" s="2">
        <v>0</v>
      </c>
      <c r="K95" s="2">
        <v>0</v>
      </c>
      <c r="L95" s="2">
        <f t="shared" si="17"/>
        <v>0</v>
      </c>
      <c r="M95" s="2">
        <v>0</v>
      </c>
      <c r="N95" s="2">
        <v>0</v>
      </c>
      <c r="O95" s="2">
        <v>0</v>
      </c>
      <c r="P95" s="2">
        <f t="shared" si="18"/>
        <v>0</v>
      </c>
      <c r="Q95" s="2">
        <v>0</v>
      </c>
      <c r="R95" s="2">
        <v>395138.88</v>
      </c>
      <c r="S95" s="2">
        <v>0</v>
      </c>
      <c r="T95" s="2">
        <v>0</v>
      </c>
      <c r="U95" s="2">
        <f t="shared" si="19"/>
        <v>395138.88</v>
      </c>
      <c r="V95" s="2">
        <v>0</v>
      </c>
      <c r="W95" s="119">
        <f t="shared" si="20"/>
        <v>453549.88</v>
      </c>
      <c r="X95" s="2">
        <v>0</v>
      </c>
      <c r="Y95" s="168">
        <f t="shared" si="21"/>
        <v>453549.88</v>
      </c>
    </row>
    <row r="96" spans="1:25" ht="12.75" customHeight="1" collapsed="1">
      <c r="A96" s="164" t="s">
        <v>324</v>
      </c>
      <c r="B96" s="30"/>
      <c r="C96" s="164" t="s">
        <v>2812</v>
      </c>
      <c r="D96" s="31"/>
      <c r="E96" s="32">
        <v>766095.77</v>
      </c>
      <c r="F96" s="32">
        <v>100.99</v>
      </c>
      <c r="G96" s="34">
        <f t="shared" si="16"/>
        <v>766196.76</v>
      </c>
      <c r="H96" s="34">
        <v>470938.19</v>
      </c>
      <c r="I96" s="34">
        <v>1321.91</v>
      </c>
      <c r="J96" s="34">
        <v>0</v>
      </c>
      <c r="K96" s="34">
        <v>0</v>
      </c>
      <c r="L96" s="34">
        <f t="shared" si="17"/>
        <v>1321.91</v>
      </c>
      <c r="M96" s="34">
        <v>0</v>
      </c>
      <c r="N96" s="34">
        <v>0</v>
      </c>
      <c r="O96" s="34">
        <v>0</v>
      </c>
      <c r="P96" s="34">
        <f t="shared" si="18"/>
        <v>0</v>
      </c>
      <c r="Q96" s="34">
        <v>0</v>
      </c>
      <c r="R96" s="34">
        <v>1353162.07</v>
      </c>
      <c r="S96" s="34">
        <v>0</v>
      </c>
      <c r="T96" s="34">
        <v>0</v>
      </c>
      <c r="U96" s="34">
        <f t="shared" si="19"/>
        <v>1353162.07</v>
      </c>
      <c r="V96" s="34">
        <v>5491.84</v>
      </c>
      <c r="W96" s="166">
        <f t="shared" si="20"/>
        <v>2597110.7699999996</v>
      </c>
      <c r="X96" s="34">
        <v>0</v>
      </c>
      <c r="Y96" s="167">
        <f t="shared" si="21"/>
        <v>2597110.7699999996</v>
      </c>
    </row>
    <row r="97" spans="1:25" ht="12.75" hidden="1" outlineLevel="1">
      <c r="A97" s="2" t="s">
        <v>325</v>
      </c>
      <c r="C97" s="2" t="s">
        <v>326</v>
      </c>
      <c r="D97" s="1" t="s">
        <v>327</v>
      </c>
      <c r="E97" s="2">
        <v>2925823.76</v>
      </c>
      <c r="F97" s="2">
        <v>0</v>
      </c>
      <c r="G97" s="2">
        <f t="shared" si="16"/>
        <v>2925823.76</v>
      </c>
      <c r="H97" s="2">
        <v>77468.64</v>
      </c>
      <c r="I97" s="2">
        <v>0</v>
      </c>
      <c r="J97" s="2">
        <v>0</v>
      </c>
      <c r="K97" s="2">
        <v>0</v>
      </c>
      <c r="L97" s="2">
        <f t="shared" si="17"/>
        <v>0</v>
      </c>
      <c r="M97" s="2">
        <v>0</v>
      </c>
      <c r="N97" s="2">
        <v>0</v>
      </c>
      <c r="O97" s="2">
        <v>0</v>
      </c>
      <c r="P97" s="2">
        <f t="shared" si="18"/>
        <v>0</v>
      </c>
      <c r="Q97" s="2">
        <v>0</v>
      </c>
      <c r="R97" s="2">
        <v>0</v>
      </c>
      <c r="S97" s="2">
        <v>0</v>
      </c>
      <c r="T97" s="2">
        <v>0</v>
      </c>
      <c r="U97" s="2">
        <f t="shared" si="19"/>
        <v>0</v>
      </c>
      <c r="V97" s="2">
        <v>0</v>
      </c>
      <c r="W97" s="119">
        <f t="shared" si="20"/>
        <v>3003292.4</v>
      </c>
      <c r="X97" s="2">
        <v>0</v>
      </c>
      <c r="Y97" s="168">
        <f t="shared" si="21"/>
        <v>3003292.4</v>
      </c>
    </row>
    <row r="98" spans="1:25" ht="12.75" customHeight="1" collapsed="1">
      <c r="A98" s="164" t="s">
        <v>328</v>
      </c>
      <c r="B98" s="30"/>
      <c r="C98" s="164" t="s">
        <v>329</v>
      </c>
      <c r="D98" s="31"/>
      <c r="E98" s="32">
        <v>2925823.76</v>
      </c>
      <c r="F98" s="32">
        <v>0</v>
      </c>
      <c r="G98" s="36">
        <f t="shared" si="16"/>
        <v>2925823.76</v>
      </c>
      <c r="H98" s="36">
        <v>77468.64</v>
      </c>
      <c r="I98" s="36">
        <v>0</v>
      </c>
      <c r="J98" s="36">
        <v>0</v>
      </c>
      <c r="K98" s="36">
        <v>0</v>
      </c>
      <c r="L98" s="36">
        <f t="shared" si="17"/>
        <v>0</v>
      </c>
      <c r="M98" s="36">
        <v>0</v>
      </c>
      <c r="N98" s="36">
        <v>0</v>
      </c>
      <c r="O98" s="36">
        <v>0</v>
      </c>
      <c r="P98" s="36">
        <f t="shared" si="18"/>
        <v>0</v>
      </c>
      <c r="Q98" s="36">
        <v>0</v>
      </c>
      <c r="R98" s="36">
        <v>0</v>
      </c>
      <c r="S98" s="36">
        <v>0</v>
      </c>
      <c r="T98" s="36">
        <v>0</v>
      </c>
      <c r="U98" s="36">
        <f t="shared" si="19"/>
        <v>0</v>
      </c>
      <c r="V98" s="36">
        <v>0</v>
      </c>
      <c r="W98" s="169">
        <f t="shared" si="20"/>
        <v>3003292.4</v>
      </c>
      <c r="X98" s="36">
        <v>0</v>
      </c>
      <c r="Y98" s="170">
        <f t="shared" si="21"/>
        <v>3003292.4</v>
      </c>
    </row>
    <row r="99" spans="1:25" ht="12.75" hidden="1" outlineLevel="1">
      <c r="A99" s="2" t="s">
        <v>330</v>
      </c>
      <c r="C99" s="2" t="s">
        <v>331</v>
      </c>
      <c r="D99" s="1" t="s">
        <v>332</v>
      </c>
      <c r="E99" s="2">
        <v>2150906.21</v>
      </c>
      <c r="F99" s="2">
        <v>75.13</v>
      </c>
      <c r="G99" s="2">
        <f t="shared" si="16"/>
        <v>2150981.34</v>
      </c>
      <c r="H99" s="2">
        <v>215139.32</v>
      </c>
      <c r="I99" s="2">
        <v>0</v>
      </c>
      <c r="J99" s="2">
        <v>0</v>
      </c>
      <c r="K99" s="2">
        <v>0</v>
      </c>
      <c r="L99" s="2">
        <f t="shared" si="17"/>
        <v>0</v>
      </c>
      <c r="M99" s="2">
        <v>0</v>
      </c>
      <c r="N99" s="2">
        <v>0</v>
      </c>
      <c r="O99" s="2">
        <v>0</v>
      </c>
      <c r="P99" s="2">
        <f t="shared" si="18"/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19"/>
        <v>0</v>
      </c>
      <c r="V99" s="2">
        <v>0</v>
      </c>
      <c r="W99" s="119">
        <f t="shared" si="20"/>
        <v>2366120.6599999997</v>
      </c>
      <c r="X99" s="2">
        <v>0</v>
      </c>
      <c r="Y99" s="168">
        <f t="shared" si="21"/>
        <v>2366120.6599999997</v>
      </c>
    </row>
    <row r="100" spans="1:25" ht="12.75" customHeight="1" collapsed="1">
      <c r="A100" s="164" t="s">
        <v>333</v>
      </c>
      <c r="B100" s="30"/>
      <c r="C100" s="164" t="s">
        <v>334</v>
      </c>
      <c r="D100" s="31"/>
      <c r="E100" s="32">
        <v>2150906.21</v>
      </c>
      <c r="F100" s="32">
        <v>75.13</v>
      </c>
      <c r="G100" s="36">
        <f t="shared" si="16"/>
        <v>2150981.34</v>
      </c>
      <c r="H100" s="36">
        <v>215139.32</v>
      </c>
      <c r="I100" s="36">
        <v>0</v>
      </c>
      <c r="J100" s="36">
        <v>0</v>
      </c>
      <c r="K100" s="36">
        <v>0</v>
      </c>
      <c r="L100" s="36">
        <f t="shared" si="17"/>
        <v>0</v>
      </c>
      <c r="M100" s="36">
        <v>0</v>
      </c>
      <c r="N100" s="36">
        <v>0</v>
      </c>
      <c r="O100" s="36">
        <v>0</v>
      </c>
      <c r="P100" s="36">
        <f t="shared" si="18"/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f t="shared" si="19"/>
        <v>0</v>
      </c>
      <c r="V100" s="36">
        <v>0</v>
      </c>
      <c r="W100" s="169">
        <f t="shared" si="20"/>
        <v>2366120.6599999997</v>
      </c>
      <c r="X100" s="36">
        <v>0</v>
      </c>
      <c r="Y100" s="170">
        <f t="shared" si="21"/>
        <v>2366120.6599999997</v>
      </c>
    </row>
    <row r="101" spans="1:25" ht="12.75" customHeight="1">
      <c r="A101" s="164" t="s">
        <v>3179</v>
      </c>
      <c r="B101" s="30"/>
      <c r="C101" s="164" t="s">
        <v>3180</v>
      </c>
      <c r="D101" s="31"/>
      <c r="E101" s="32">
        <v>0</v>
      </c>
      <c r="F101" s="32">
        <v>0</v>
      </c>
      <c r="G101" s="36">
        <f t="shared" si="16"/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f t="shared" si="17"/>
        <v>0</v>
      </c>
      <c r="M101" s="36">
        <v>0</v>
      </c>
      <c r="N101" s="36">
        <v>0</v>
      </c>
      <c r="O101" s="36">
        <v>0</v>
      </c>
      <c r="P101" s="36">
        <f t="shared" si="18"/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f t="shared" si="19"/>
        <v>0</v>
      </c>
      <c r="V101" s="36">
        <v>0</v>
      </c>
      <c r="W101" s="169">
        <f t="shared" si="20"/>
        <v>0</v>
      </c>
      <c r="X101" s="36">
        <v>0</v>
      </c>
      <c r="Y101" s="170">
        <f t="shared" si="21"/>
        <v>0</v>
      </c>
    </row>
    <row r="102" spans="1:25" ht="12.75" customHeight="1">
      <c r="A102" s="164" t="s">
        <v>3181</v>
      </c>
      <c r="B102" s="30"/>
      <c r="C102" s="164" t="s">
        <v>3182</v>
      </c>
      <c r="D102" s="31"/>
      <c r="E102" s="32">
        <v>0</v>
      </c>
      <c r="F102" s="32">
        <v>0</v>
      </c>
      <c r="G102" s="36">
        <f t="shared" si="16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f t="shared" si="17"/>
        <v>0</v>
      </c>
      <c r="M102" s="36">
        <v>0</v>
      </c>
      <c r="N102" s="36">
        <v>0</v>
      </c>
      <c r="O102" s="36">
        <v>0</v>
      </c>
      <c r="P102" s="36">
        <f t="shared" si="18"/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f t="shared" si="19"/>
        <v>0</v>
      </c>
      <c r="V102" s="36">
        <v>0</v>
      </c>
      <c r="W102" s="169">
        <f t="shared" si="20"/>
        <v>0</v>
      </c>
      <c r="X102" s="36">
        <v>0</v>
      </c>
      <c r="Y102" s="170">
        <f t="shared" si="21"/>
        <v>0</v>
      </c>
    </row>
    <row r="103" spans="1:25" ht="12.75" hidden="1" outlineLevel="1">
      <c r="A103" s="2" t="s">
        <v>3183</v>
      </c>
      <c r="C103" s="2" t="s">
        <v>3184</v>
      </c>
      <c r="D103" s="1" t="s">
        <v>3185</v>
      </c>
      <c r="E103" s="2">
        <v>1500447.22</v>
      </c>
      <c r="F103" s="2">
        <v>0</v>
      </c>
      <c r="G103" s="2">
        <f t="shared" si="16"/>
        <v>1500447.22</v>
      </c>
      <c r="H103" s="2">
        <v>0</v>
      </c>
      <c r="I103" s="2">
        <v>0</v>
      </c>
      <c r="J103" s="2">
        <v>0</v>
      </c>
      <c r="K103" s="2">
        <v>0</v>
      </c>
      <c r="L103" s="2">
        <f t="shared" si="17"/>
        <v>0</v>
      </c>
      <c r="M103" s="2">
        <v>0</v>
      </c>
      <c r="N103" s="2">
        <v>0</v>
      </c>
      <c r="O103" s="2">
        <v>0</v>
      </c>
      <c r="P103" s="2">
        <f t="shared" si="18"/>
        <v>0</v>
      </c>
      <c r="Q103" s="2">
        <v>0</v>
      </c>
      <c r="R103" s="2">
        <v>0</v>
      </c>
      <c r="S103" s="2">
        <v>0</v>
      </c>
      <c r="T103" s="2">
        <v>0</v>
      </c>
      <c r="U103" s="2">
        <f t="shared" si="19"/>
        <v>0</v>
      </c>
      <c r="V103" s="2">
        <v>7289.13</v>
      </c>
      <c r="W103" s="119">
        <f t="shared" si="20"/>
        <v>1507736.3499999999</v>
      </c>
      <c r="X103" s="2">
        <v>0</v>
      </c>
      <c r="Y103" s="168">
        <f t="shared" si="21"/>
        <v>1507736.3499999999</v>
      </c>
    </row>
    <row r="104" spans="1:25" ht="12.75" hidden="1" outlineLevel="1">
      <c r="A104" s="2" t="s">
        <v>3186</v>
      </c>
      <c r="C104" s="2" t="s">
        <v>3187</v>
      </c>
      <c r="D104" s="1" t="s">
        <v>3188</v>
      </c>
      <c r="E104" s="2">
        <v>20</v>
      </c>
      <c r="F104" s="2">
        <v>0</v>
      </c>
      <c r="G104" s="2">
        <f t="shared" si="16"/>
        <v>20</v>
      </c>
      <c r="H104" s="2">
        <v>0</v>
      </c>
      <c r="I104" s="2">
        <v>0</v>
      </c>
      <c r="J104" s="2">
        <v>0</v>
      </c>
      <c r="K104" s="2">
        <v>0</v>
      </c>
      <c r="L104" s="2">
        <f t="shared" si="17"/>
        <v>0</v>
      </c>
      <c r="M104" s="2">
        <v>0</v>
      </c>
      <c r="N104" s="2">
        <v>0</v>
      </c>
      <c r="O104" s="2">
        <v>0</v>
      </c>
      <c r="P104" s="2">
        <f t="shared" si="18"/>
        <v>0</v>
      </c>
      <c r="Q104" s="2">
        <v>0</v>
      </c>
      <c r="R104" s="2">
        <v>0</v>
      </c>
      <c r="S104" s="2">
        <v>0</v>
      </c>
      <c r="T104" s="2">
        <v>0</v>
      </c>
      <c r="U104" s="2">
        <f t="shared" si="19"/>
        <v>0</v>
      </c>
      <c r="V104" s="2">
        <v>0</v>
      </c>
      <c r="W104" s="119">
        <f t="shared" si="20"/>
        <v>20</v>
      </c>
      <c r="X104" s="2">
        <v>0</v>
      </c>
      <c r="Y104" s="168">
        <f t="shared" si="21"/>
        <v>20</v>
      </c>
    </row>
    <row r="105" spans="1:25" ht="12.75" hidden="1" outlineLevel="1">
      <c r="A105" s="2" t="s">
        <v>3189</v>
      </c>
      <c r="C105" s="2" t="s">
        <v>3190</v>
      </c>
      <c r="D105" s="1" t="s">
        <v>3191</v>
      </c>
      <c r="E105" s="2">
        <v>46053.9</v>
      </c>
      <c r="F105" s="2">
        <v>522728.24</v>
      </c>
      <c r="G105" s="2">
        <f t="shared" si="16"/>
        <v>568782.14</v>
      </c>
      <c r="H105" s="2">
        <v>0</v>
      </c>
      <c r="I105" s="2">
        <v>0</v>
      </c>
      <c r="J105" s="2">
        <v>0</v>
      </c>
      <c r="K105" s="2">
        <v>0</v>
      </c>
      <c r="L105" s="2">
        <f t="shared" si="17"/>
        <v>0</v>
      </c>
      <c r="M105" s="2">
        <v>0</v>
      </c>
      <c r="N105" s="2">
        <v>0</v>
      </c>
      <c r="O105" s="2">
        <v>0</v>
      </c>
      <c r="P105" s="2">
        <f t="shared" si="18"/>
        <v>0</v>
      </c>
      <c r="Q105" s="2">
        <v>0</v>
      </c>
      <c r="R105" s="2">
        <v>0</v>
      </c>
      <c r="S105" s="2">
        <v>0</v>
      </c>
      <c r="T105" s="2">
        <v>0</v>
      </c>
      <c r="U105" s="2">
        <f t="shared" si="19"/>
        <v>0</v>
      </c>
      <c r="V105" s="2">
        <v>0</v>
      </c>
      <c r="W105" s="119">
        <f t="shared" si="20"/>
        <v>568782.14</v>
      </c>
      <c r="X105" s="2">
        <v>0</v>
      </c>
      <c r="Y105" s="168">
        <f t="shared" si="21"/>
        <v>568782.14</v>
      </c>
    </row>
    <row r="106" spans="1:25" ht="12.75" hidden="1" outlineLevel="1">
      <c r="A106" s="2" t="s">
        <v>3192</v>
      </c>
      <c r="C106" s="2" t="s">
        <v>3193</v>
      </c>
      <c r="D106" s="1" t="s">
        <v>3194</v>
      </c>
      <c r="E106" s="2">
        <v>0</v>
      </c>
      <c r="F106" s="2">
        <v>0</v>
      </c>
      <c r="G106" s="2">
        <f t="shared" si="16"/>
        <v>0</v>
      </c>
      <c r="H106" s="2">
        <v>2316079.02</v>
      </c>
      <c r="I106" s="2">
        <v>0</v>
      </c>
      <c r="J106" s="2">
        <v>0</v>
      </c>
      <c r="K106" s="2">
        <v>0</v>
      </c>
      <c r="L106" s="2">
        <f t="shared" si="17"/>
        <v>0</v>
      </c>
      <c r="M106" s="2">
        <v>0</v>
      </c>
      <c r="N106" s="2">
        <v>0</v>
      </c>
      <c r="O106" s="2">
        <v>0</v>
      </c>
      <c r="P106" s="2">
        <f t="shared" si="18"/>
        <v>0</v>
      </c>
      <c r="Q106" s="2">
        <v>0</v>
      </c>
      <c r="R106" s="2">
        <v>0</v>
      </c>
      <c r="S106" s="2">
        <v>0</v>
      </c>
      <c r="T106" s="2">
        <v>0</v>
      </c>
      <c r="U106" s="2">
        <f t="shared" si="19"/>
        <v>0</v>
      </c>
      <c r="V106" s="2">
        <v>0</v>
      </c>
      <c r="W106" s="119">
        <f t="shared" si="20"/>
        <v>2316079.02</v>
      </c>
      <c r="X106" s="2">
        <v>0</v>
      </c>
      <c r="Y106" s="168">
        <f t="shared" si="21"/>
        <v>2316079.02</v>
      </c>
    </row>
    <row r="107" spans="1:25" ht="12.75" customHeight="1" collapsed="1">
      <c r="A107" s="164" t="s">
        <v>3195</v>
      </c>
      <c r="B107" s="30"/>
      <c r="C107" s="164" t="s">
        <v>3196</v>
      </c>
      <c r="D107" s="31"/>
      <c r="E107" s="32">
        <v>1546521.12</v>
      </c>
      <c r="F107" s="32">
        <v>522728.24</v>
      </c>
      <c r="G107" s="36">
        <f t="shared" si="16"/>
        <v>2069249.36</v>
      </c>
      <c r="H107" s="36">
        <v>2316079.02</v>
      </c>
      <c r="I107" s="36">
        <v>0</v>
      </c>
      <c r="J107" s="36">
        <v>0</v>
      </c>
      <c r="K107" s="36">
        <v>0</v>
      </c>
      <c r="L107" s="36">
        <f t="shared" si="17"/>
        <v>0</v>
      </c>
      <c r="M107" s="36">
        <v>0</v>
      </c>
      <c r="N107" s="36">
        <v>0</v>
      </c>
      <c r="O107" s="36">
        <v>0</v>
      </c>
      <c r="P107" s="36">
        <f t="shared" si="18"/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f t="shared" si="19"/>
        <v>0</v>
      </c>
      <c r="V107" s="36">
        <v>7289.13</v>
      </c>
      <c r="W107" s="169">
        <f t="shared" si="20"/>
        <v>4392617.51</v>
      </c>
      <c r="X107" s="36">
        <v>0</v>
      </c>
      <c r="Y107" s="170">
        <f t="shared" si="21"/>
        <v>4392617.51</v>
      </c>
    </row>
    <row r="108" spans="1:25" ht="12.75" hidden="1" outlineLevel="1">
      <c r="A108" s="2" t="s">
        <v>3197</v>
      </c>
      <c r="C108" s="2" t="s">
        <v>3198</v>
      </c>
      <c r="D108" s="1" t="s">
        <v>3199</v>
      </c>
      <c r="E108" s="2">
        <v>0</v>
      </c>
      <c r="F108" s="2">
        <v>0</v>
      </c>
      <c r="G108" s="2">
        <f t="shared" si="16"/>
        <v>0</v>
      </c>
      <c r="H108" s="2">
        <v>0</v>
      </c>
      <c r="I108" s="2">
        <v>0</v>
      </c>
      <c r="J108" s="2">
        <v>0</v>
      </c>
      <c r="K108" s="2">
        <v>0</v>
      </c>
      <c r="L108" s="2">
        <f t="shared" si="17"/>
        <v>0</v>
      </c>
      <c r="M108" s="2">
        <v>0</v>
      </c>
      <c r="N108" s="2">
        <v>0</v>
      </c>
      <c r="O108" s="2">
        <v>0</v>
      </c>
      <c r="P108" s="2">
        <f t="shared" si="18"/>
        <v>0</v>
      </c>
      <c r="Q108" s="2">
        <v>0</v>
      </c>
      <c r="R108" s="2">
        <v>0</v>
      </c>
      <c r="S108" s="2">
        <v>0</v>
      </c>
      <c r="T108" s="2">
        <v>0</v>
      </c>
      <c r="U108" s="2">
        <f t="shared" si="19"/>
        <v>0</v>
      </c>
      <c r="V108" s="2">
        <v>3080.63</v>
      </c>
      <c r="W108" s="119">
        <f t="shared" si="20"/>
        <v>3080.63</v>
      </c>
      <c r="X108" s="2">
        <v>0</v>
      </c>
      <c r="Y108" s="168">
        <f t="shared" si="21"/>
        <v>3080.63</v>
      </c>
    </row>
    <row r="109" spans="1:25" ht="12.75" customHeight="1" collapsed="1">
      <c r="A109" s="164" t="s">
        <v>3200</v>
      </c>
      <c r="B109" s="30"/>
      <c r="C109" s="164" t="s">
        <v>3201</v>
      </c>
      <c r="D109" s="31"/>
      <c r="E109" s="32">
        <v>0</v>
      </c>
      <c r="F109" s="32">
        <v>0</v>
      </c>
      <c r="G109" s="36">
        <f t="shared" si="16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f t="shared" si="17"/>
        <v>0</v>
      </c>
      <c r="M109" s="36">
        <v>0</v>
      </c>
      <c r="N109" s="36">
        <v>0</v>
      </c>
      <c r="O109" s="36">
        <v>0</v>
      </c>
      <c r="P109" s="36">
        <f t="shared" si="18"/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f t="shared" si="19"/>
        <v>0</v>
      </c>
      <c r="V109" s="36">
        <v>3080.63</v>
      </c>
      <c r="W109" s="169">
        <f t="shared" si="20"/>
        <v>3080.63</v>
      </c>
      <c r="X109" s="36">
        <v>0</v>
      </c>
      <c r="Y109" s="170">
        <f t="shared" si="21"/>
        <v>3080.63</v>
      </c>
    </row>
    <row r="110" spans="1:25" ht="12.75" customHeight="1">
      <c r="A110" s="164" t="s">
        <v>2792</v>
      </c>
      <c r="B110" s="30"/>
      <c r="C110" s="164" t="s">
        <v>2815</v>
      </c>
      <c r="D110" s="31"/>
      <c r="E110" s="32">
        <v>0</v>
      </c>
      <c r="F110" s="32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f t="shared" si="18"/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f>V88-V96-V98-V100-V101-V102-V107-V109-V113-V114-V116-V117</f>
        <v>257190.51999999996</v>
      </c>
      <c r="W110" s="169">
        <f t="shared" si="20"/>
        <v>257190.51999999996</v>
      </c>
      <c r="X110" s="36">
        <v>0</v>
      </c>
      <c r="Y110" s="170">
        <f t="shared" si="21"/>
        <v>257190.51999999996</v>
      </c>
    </row>
    <row r="111" spans="1:25" ht="12.75" customHeight="1">
      <c r="A111" s="164" t="s">
        <v>3202</v>
      </c>
      <c r="B111" s="30"/>
      <c r="C111" s="164" t="s">
        <v>3203</v>
      </c>
      <c r="D111" s="31"/>
      <c r="E111" s="32">
        <v>0</v>
      </c>
      <c r="F111" s="32">
        <v>0</v>
      </c>
      <c r="G111" s="36">
        <f aca="true" t="shared" si="22" ref="G111:G117">E111+F111</f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f aca="true" t="shared" si="23" ref="L111:L117">I111+J111+K111</f>
        <v>0</v>
      </c>
      <c r="M111" s="36">
        <v>0</v>
      </c>
      <c r="N111" s="36">
        <v>0</v>
      </c>
      <c r="O111" s="36">
        <v>0</v>
      </c>
      <c r="P111" s="36">
        <f t="shared" si="18"/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f aca="true" t="shared" si="24" ref="U111:U117">Q111+R111+S111+T111</f>
        <v>0</v>
      </c>
      <c r="V111" s="36">
        <v>0</v>
      </c>
      <c r="W111" s="169">
        <f t="shared" si="20"/>
        <v>0</v>
      </c>
      <c r="X111" s="36">
        <v>0</v>
      </c>
      <c r="Y111" s="170">
        <f t="shared" si="21"/>
        <v>0</v>
      </c>
    </row>
    <row r="112" spans="1:25" ht="12.75" hidden="1" outlineLevel="1">
      <c r="A112" s="2" t="s">
        <v>3204</v>
      </c>
      <c r="C112" s="2" t="s">
        <v>3205</v>
      </c>
      <c r="D112" s="1" t="s">
        <v>3206</v>
      </c>
      <c r="E112" s="2">
        <v>0</v>
      </c>
      <c r="F112" s="2">
        <v>0</v>
      </c>
      <c r="G112" s="2">
        <f t="shared" si="22"/>
        <v>0</v>
      </c>
      <c r="H112" s="2">
        <v>0</v>
      </c>
      <c r="I112" s="2">
        <v>0</v>
      </c>
      <c r="J112" s="2">
        <v>0</v>
      </c>
      <c r="K112" s="2">
        <v>0</v>
      </c>
      <c r="L112" s="2">
        <f t="shared" si="23"/>
        <v>0</v>
      </c>
      <c r="M112" s="2">
        <v>0</v>
      </c>
      <c r="N112" s="2">
        <v>10199782.91</v>
      </c>
      <c r="O112" s="2">
        <v>0</v>
      </c>
      <c r="P112" s="2">
        <f t="shared" si="18"/>
        <v>10199782.91</v>
      </c>
      <c r="Q112" s="2">
        <v>0</v>
      </c>
      <c r="R112" s="2">
        <v>0</v>
      </c>
      <c r="S112" s="2">
        <v>0</v>
      </c>
      <c r="T112" s="2">
        <v>0</v>
      </c>
      <c r="U112" s="2">
        <f t="shared" si="24"/>
        <v>0</v>
      </c>
      <c r="V112" s="2">
        <v>0</v>
      </c>
      <c r="W112" s="119">
        <f t="shared" si="20"/>
        <v>10199782.91</v>
      </c>
      <c r="X112" s="2">
        <v>0</v>
      </c>
      <c r="Y112" s="168">
        <f t="shared" si="21"/>
        <v>10199782.91</v>
      </c>
    </row>
    <row r="113" spans="1:25" ht="12.75" customHeight="1" collapsed="1">
      <c r="A113" s="164" t="s">
        <v>3207</v>
      </c>
      <c r="B113" s="30"/>
      <c r="C113" s="164" t="s">
        <v>2817</v>
      </c>
      <c r="D113" s="31"/>
      <c r="E113" s="32">
        <v>0</v>
      </c>
      <c r="F113" s="32">
        <v>0</v>
      </c>
      <c r="G113" s="36">
        <f t="shared" si="22"/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f t="shared" si="23"/>
        <v>0</v>
      </c>
      <c r="M113" s="36">
        <v>0</v>
      </c>
      <c r="N113" s="36">
        <v>10199782.91</v>
      </c>
      <c r="O113" s="36">
        <v>0</v>
      </c>
      <c r="P113" s="36">
        <f t="shared" si="18"/>
        <v>10199782.91</v>
      </c>
      <c r="Q113" s="36">
        <v>0</v>
      </c>
      <c r="R113" s="36">
        <v>0</v>
      </c>
      <c r="S113" s="36">
        <v>0</v>
      </c>
      <c r="T113" s="36">
        <v>0</v>
      </c>
      <c r="U113" s="36">
        <f t="shared" si="24"/>
        <v>0</v>
      </c>
      <c r="V113" s="36">
        <v>0</v>
      </c>
      <c r="W113" s="169">
        <f t="shared" si="20"/>
        <v>10199782.91</v>
      </c>
      <c r="X113" s="36">
        <v>0</v>
      </c>
      <c r="Y113" s="170">
        <f t="shared" si="21"/>
        <v>10199782.91</v>
      </c>
    </row>
    <row r="114" spans="1:25" ht="12.75" customHeight="1">
      <c r="A114" s="164" t="s">
        <v>3208</v>
      </c>
      <c r="B114" s="30"/>
      <c r="C114" s="164" t="s">
        <v>3209</v>
      </c>
      <c r="D114" s="31"/>
      <c r="E114" s="32">
        <v>0</v>
      </c>
      <c r="F114" s="32">
        <v>0</v>
      </c>
      <c r="G114" s="36">
        <f t="shared" si="22"/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f t="shared" si="23"/>
        <v>0</v>
      </c>
      <c r="M114" s="36">
        <v>0</v>
      </c>
      <c r="N114" s="36">
        <v>0</v>
      </c>
      <c r="O114" s="36">
        <v>0</v>
      </c>
      <c r="P114" s="36">
        <f t="shared" si="18"/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f t="shared" si="24"/>
        <v>0</v>
      </c>
      <c r="V114" s="36">
        <v>0</v>
      </c>
      <c r="W114" s="169">
        <f t="shared" si="20"/>
        <v>0</v>
      </c>
      <c r="X114" s="36">
        <v>0</v>
      </c>
      <c r="Y114" s="170">
        <f t="shared" si="21"/>
        <v>0</v>
      </c>
    </row>
    <row r="115" spans="1:25" ht="12.75" hidden="1" outlineLevel="1">
      <c r="A115" s="2" t="s">
        <v>3210</v>
      </c>
      <c r="C115" s="2" t="s">
        <v>3211</v>
      </c>
      <c r="D115" s="1" t="s">
        <v>3212</v>
      </c>
      <c r="E115" s="2">
        <v>0</v>
      </c>
      <c r="F115" s="2">
        <v>0</v>
      </c>
      <c r="G115" s="2">
        <f t="shared" si="22"/>
        <v>0</v>
      </c>
      <c r="H115" s="2">
        <v>0</v>
      </c>
      <c r="I115" s="2">
        <v>0</v>
      </c>
      <c r="J115" s="2">
        <v>0</v>
      </c>
      <c r="K115" s="2">
        <v>0</v>
      </c>
      <c r="L115" s="2">
        <f t="shared" si="23"/>
        <v>0</v>
      </c>
      <c r="M115" s="2">
        <v>0</v>
      </c>
      <c r="N115" s="2">
        <v>0</v>
      </c>
      <c r="O115" s="2">
        <v>0</v>
      </c>
      <c r="P115" s="2">
        <f t="shared" si="18"/>
        <v>0</v>
      </c>
      <c r="Q115" s="2">
        <v>0</v>
      </c>
      <c r="R115" s="2">
        <v>0</v>
      </c>
      <c r="S115" s="2">
        <v>0</v>
      </c>
      <c r="T115" s="2">
        <v>658315.06</v>
      </c>
      <c r="U115" s="2">
        <f t="shared" si="24"/>
        <v>658315.06</v>
      </c>
      <c r="V115" s="2">
        <v>0</v>
      </c>
      <c r="W115" s="119">
        <f t="shared" si="20"/>
        <v>658315.06</v>
      </c>
      <c r="X115" s="2">
        <v>0</v>
      </c>
      <c r="Y115" s="168">
        <f t="shared" si="21"/>
        <v>658315.06</v>
      </c>
    </row>
    <row r="116" spans="1:25" ht="12.75" customHeight="1" collapsed="1">
      <c r="A116" s="164" t="s">
        <v>3213</v>
      </c>
      <c r="B116" s="30"/>
      <c r="C116" s="164" t="s">
        <v>2818</v>
      </c>
      <c r="D116" s="31"/>
      <c r="E116" s="32">
        <v>0</v>
      </c>
      <c r="F116" s="32">
        <v>0</v>
      </c>
      <c r="G116" s="36">
        <f t="shared" si="22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f t="shared" si="23"/>
        <v>0</v>
      </c>
      <c r="M116" s="36">
        <v>0</v>
      </c>
      <c r="N116" s="36">
        <v>0</v>
      </c>
      <c r="O116" s="36">
        <v>0</v>
      </c>
      <c r="P116" s="36">
        <f t="shared" si="18"/>
        <v>0</v>
      </c>
      <c r="Q116" s="36">
        <v>0</v>
      </c>
      <c r="R116" s="36">
        <v>0</v>
      </c>
      <c r="S116" s="36">
        <v>0</v>
      </c>
      <c r="T116" s="36">
        <v>658315.06</v>
      </c>
      <c r="U116" s="36">
        <f t="shared" si="24"/>
        <v>658315.06</v>
      </c>
      <c r="V116" s="36">
        <v>0</v>
      </c>
      <c r="W116" s="169">
        <f t="shared" si="20"/>
        <v>658315.06</v>
      </c>
      <c r="X116" s="36">
        <v>0</v>
      </c>
      <c r="Y116" s="170">
        <f t="shared" si="21"/>
        <v>658315.06</v>
      </c>
    </row>
    <row r="117" spans="1:25" ht="12.75" customHeight="1">
      <c r="A117" s="164" t="s">
        <v>3214</v>
      </c>
      <c r="B117" s="30"/>
      <c r="C117" s="164" t="s">
        <v>3215</v>
      </c>
      <c r="D117" s="31"/>
      <c r="E117" s="32">
        <v>0</v>
      </c>
      <c r="F117" s="32">
        <v>0</v>
      </c>
      <c r="G117" s="36">
        <f t="shared" si="22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f t="shared" si="23"/>
        <v>0</v>
      </c>
      <c r="M117" s="36">
        <v>0</v>
      </c>
      <c r="N117" s="36">
        <v>0</v>
      </c>
      <c r="O117" s="36">
        <v>0</v>
      </c>
      <c r="P117" s="36">
        <f t="shared" si="18"/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f t="shared" si="24"/>
        <v>0</v>
      </c>
      <c r="V117" s="36">
        <v>0</v>
      </c>
      <c r="W117" s="169">
        <f t="shared" si="20"/>
        <v>0</v>
      </c>
      <c r="X117" s="36">
        <v>0</v>
      </c>
      <c r="Y117" s="170">
        <f t="shared" si="21"/>
        <v>0</v>
      </c>
    </row>
    <row r="118" spans="1:25" ht="12.75" customHeight="1">
      <c r="A118" s="1"/>
      <c r="B118" s="30"/>
      <c r="C118" s="164"/>
      <c r="D118" s="31"/>
      <c r="E118" s="32"/>
      <c r="F118" s="32"/>
      <c r="G118" s="36"/>
      <c r="H118" s="36"/>
      <c r="I118" s="36"/>
      <c r="J118" s="36"/>
      <c r="K118" s="36"/>
      <c r="L118" s="36"/>
      <c r="M118" s="36"/>
      <c r="N118" s="36"/>
      <c r="O118" s="36"/>
      <c r="P118" s="39"/>
      <c r="Q118" s="36"/>
      <c r="R118" s="36"/>
      <c r="S118" s="36"/>
      <c r="T118" s="36"/>
      <c r="U118" s="36"/>
      <c r="V118" s="36"/>
      <c r="W118" s="169"/>
      <c r="X118" s="36"/>
      <c r="Y118" s="170"/>
    </row>
    <row r="119" spans="1:25" s="171" customFormat="1" ht="12.75" customHeight="1">
      <c r="A119" s="29"/>
      <c r="B119" s="23" t="s">
        <v>3216</v>
      </c>
      <c r="C119" s="163"/>
      <c r="D119" s="24"/>
      <c r="E119" s="27">
        <f aca="true" t="shared" si="25" ref="E119:Y119">E96+E98+E100+E101+E109+E102+E107+E110+E113+E114+E116+E117+E111</f>
        <v>7389346.86</v>
      </c>
      <c r="F119" s="27">
        <f t="shared" si="25"/>
        <v>522904.36</v>
      </c>
      <c r="G119" s="39">
        <f t="shared" si="25"/>
        <v>7912251.22</v>
      </c>
      <c r="H119" s="39">
        <f t="shared" si="25"/>
        <v>3079625.17</v>
      </c>
      <c r="I119" s="39">
        <f t="shared" si="25"/>
        <v>1321.91</v>
      </c>
      <c r="J119" s="39">
        <f t="shared" si="25"/>
        <v>0</v>
      </c>
      <c r="K119" s="39">
        <f t="shared" si="25"/>
        <v>0</v>
      </c>
      <c r="L119" s="39">
        <f t="shared" si="25"/>
        <v>1321.91</v>
      </c>
      <c r="M119" s="39">
        <f t="shared" si="25"/>
        <v>0</v>
      </c>
      <c r="N119" s="39">
        <f t="shared" si="25"/>
        <v>10199782.91</v>
      </c>
      <c r="O119" s="39">
        <f t="shared" si="25"/>
        <v>0</v>
      </c>
      <c r="P119" s="39">
        <f t="shared" si="25"/>
        <v>10199782.91</v>
      </c>
      <c r="Q119" s="39">
        <f t="shared" si="25"/>
        <v>0</v>
      </c>
      <c r="R119" s="39">
        <f t="shared" si="25"/>
        <v>1353162.07</v>
      </c>
      <c r="S119" s="39">
        <f t="shared" si="25"/>
        <v>0</v>
      </c>
      <c r="T119" s="39">
        <f t="shared" si="25"/>
        <v>658315.06</v>
      </c>
      <c r="U119" s="39">
        <f t="shared" si="25"/>
        <v>2011477.1300000001</v>
      </c>
      <c r="V119" s="39">
        <f t="shared" si="25"/>
        <v>273052.11999999994</v>
      </c>
      <c r="W119" s="39">
        <f t="shared" si="25"/>
        <v>23477510.459999997</v>
      </c>
      <c r="X119" s="39">
        <f t="shared" si="25"/>
        <v>0</v>
      </c>
      <c r="Y119" s="39">
        <f t="shared" si="25"/>
        <v>23477510.459999997</v>
      </c>
    </row>
    <row r="120" spans="1:25" ht="12.75" customHeight="1">
      <c r="A120" s="1"/>
      <c r="B120" s="30"/>
      <c r="C120" s="164"/>
      <c r="D120" s="31"/>
      <c r="E120" s="32"/>
      <c r="F120" s="32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169"/>
      <c r="X120" s="36"/>
      <c r="Y120" s="170"/>
    </row>
    <row r="121" spans="1:25" ht="12.75" customHeight="1">
      <c r="A121" s="29"/>
      <c r="B121" s="23" t="s">
        <v>2820</v>
      </c>
      <c r="C121" s="163"/>
      <c r="D121" s="24"/>
      <c r="E121" s="27"/>
      <c r="F121" s="27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172"/>
      <c r="X121" s="39"/>
      <c r="Y121" s="170"/>
    </row>
    <row r="122" spans="1:25" ht="12.75" customHeight="1">
      <c r="A122" s="2" t="s">
        <v>3217</v>
      </c>
      <c r="B122" s="30"/>
      <c r="C122" s="164" t="s">
        <v>2784</v>
      </c>
      <c r="D122" s="31"/>
      <c r="E122" s="32">
        <v>0</v>
      </c>
      <c r="F122" s="32">
        <v>0</v>
      </c>
      <c r="G122" s="36">
        <f aca="true" t="shared" si="26" ref="G122:G127">E122+F122</f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f aca="true" t="shared" si="27" ref="L122:L127">I122+J122+K122</f>
        <v>0</v>
      </c>
      <c r="M122" s="36">
        <v>0</v>
      </c>
      <c r="N122" s="36">
        <v>0</v>
      </c>
      <c r="O122" s="36">
        <v>0</v>
      </c>
      <c r="P122" s="36">
        <f aca="true" t="shared" si="28" ref="P122:P127">M122+N122+O122</f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f aca="true" t="shared" si="29" ref="U122:U127">Q122+R122+S122+T122</f>
        <v>0</v>
      </c>
      <c r="V122" s="36">
        <v>0</v>
      </c>
      <c r="W122" s="169">
        <f aca="true" t="shared" si="30" ref="W122:W127">G122+H122+L122+P122+U122+V122</f>
        <v>0</v>
      </c>
      <c r="X122" s="36">
        <v>0</v>
      </c>
      <c r="Y122" s="170">
        <f aca="true" t="shared" si="31" ref="Y122:Y127">W122+X122</f>
        <v>0</v>
      </c>
    </row>
    <row r="123" spans="1:25" ht="12.75" customHeight="1">
      <c r="A123" s="164" t="s">
        <v>3218</v>
      </c>
      <c r="B123" s="30"/>
      <c r="C123" s="164" t="s">
        <v>3219</v>
      </c>
      <c r="D123" s="31"/>
      <c r="E123" s="32">
        <v>0</v>
      </c>
      <c r="F123" s="32">
        <v>0</v>
      </c>
      <c r="G123" s="36">
        <f t="shared" si="26"/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f t="shared" si="27"/>
        <v>0</v>
      </c>
      <c r="M123" s="36">
        <v>0</v>
      </c>
      <c r="N123" s="36">
        <v>0</v>
      </c>
      <c r="O123" s="36">
        <v>0</v>
      </c>
      <c r="P123" s="36">
        <f t="shared" si="28"/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f t="shared" si="29"/>
        <v>0</v>
      </c>
      <c r="V123" s="36">
        <v>0</v>
      </c>
      <c r="W123" s="169">
        <f t="shared" si="30"/>
        <v>0</v>
      </c>
      <c r="X123" s="36">
        <v>0</v>
      </c>
      <c r="Y123" s="170">
        <f t="shared" si="31"/>
        <v>0</v>
      </c>
    </row>
    <row r="124" spans="1:25" ht="12.75" hidden="1" outlineLevel="1">
      <c r="A124" s="2" t="s">
        <v>3220</v>
      </c>
      <c r="C124" s="2" t="s">
        <v>3221</v>
      </c>
      <c r="D124" s="1" t="s">
        <v>3222</v>
      </c>
      <c r="E124" s="2">
        <v>0</v>
      </c>
      <c r="F124" s="2">
        <v>0</v>
      </c>
      <c r="G124" s="2">
        <f t="shared" si="26"/>
        <v>0</v>
      </c>
      <c r="H124" s="2">
        <v>0</v>
      </c>
      <c r="I124" s="2">
        <v>0</v>
      </c>
      <c r="J124" s="2">
        <v>0</v>
      </c>
      <c r="K124" s="2">
        <v>0</v>
      </c>
      <c r="L124" s="2">
        <f t="shared" si="27"/>
        <v>0</v>
      </c>
      <c r="M124" s="2">
        <v>0</v>
      </c>
      <c r="N124" s="2">
        <v>0</v>
      </c>
      <c r="O124" s="2">
        <v>0</v>
      </c>
      <c r="P124" s="2">
        <f t="shared" si="28"/>
        <v>0</v>
      </c>
      <c r="Q124" s="2">
        <v>0</v>
      </c>
      <c r="R124" s="2">
        <v>0</v>
      </c>
      <c r="S124" s="2">
        <v>778821.2</v>
      </c>
      <c r="T124" s="2">
        <v>0</v>
      </c>
      <c r="U124" s="2">
        <f t="shared" si="29"/>
        <v>778821.2</v>
      </c>
      <c r="V124" s="2">
        <v>0</v>
      </c>
      <c r="W124" s="119">
        <f t="shared" si="30"/>
        <v>778821.2</v>
      </c>
      <c r="X124" s="2">
        <v>0</v>
      </c>
      <c r="Y124" s="168">
        <f t="shared" si="31"/>
        <v>778821.2</v>
      </c>
    </row>
    <row r="125" spans="1:25" ht="12.75" hidden="1" outlineLevel="1">
      <c r="A125" s="2" t="s">
        <v>3223</v>
      </c>
      <c r="C125" s="2" t="s">
        <v>3224</v>
      </c>
      <c r="D125" s="1" t="s">
        <v>3225</v>
      </c>
      <c r="E125" s="2">
        <v>0</v>
      </c>
      <c r="F125" s="2">
        <v>0</v>
      </c>
      <c r="G125" s="2">
        <f t="shared" si="26"/>
        <v>0</v>
      </c>
      <c r="H125" s="2">
        <v>0</v>
      </c>
      <c r="I125" s="2">
        <v>0</v>
      </c>
      <c r="J125" s="2">
        <v>0</v>
      </c>
      <c r="K125" s="2">
        <v>0</v>
      </c>
      <c r="L125" s="2">
        <f t="shared" si="27"/>
        <v>0</v>
      </c>
      <c r="M125" s="2">
        <v>0</v>
      </c>
      <c r="N125" s="2">
        <v>0</v>
      </c>
      <c r="O125" s="2">
        <v>0</v>
      </c>
      <c r="P125" s="2">
        <f t="shared" si="28"/>
        <v>0</v>
      </c>
      <c r="Q125" s="2">
        <v>0</v>
      </c>
      <c r="R125" s="2">
        <v>0</v>
      </c>
      <c r="S125" s="2">
        <v>-214733.47</v>
      </c>
      <c r="T125" s="2">
        <v>0</v>
      </c>
      <c r="U125" s="2">
        <f t="shared" si="29"/>
        <v>-214733.47</v>
      </c>
      <c r="V125" s="2">
        <v>0</v>
      </c>
      <c r="W125" s="119">
        <f t="shared" si="30"/>
        <v>-214733.47</v>
      </c>
      <c r="X125" s="2">
        <v>0</v>
      </c>
      <c r="Y125" s="168">
        <f t="shared" si="31"/>
        <v>-214733.47</v>
      </c>
    </row>
    <row r="126" spans="1:25" ht="12.75" hidden="1" outlineLevel="1">
      <c r="A126" s="2" t="s">
        <v>3226</v>
      </c>
      <c r="C126" s="2" t="s">
        <v>3227</v>
      </c>
      <c r="D126" s="1" t="s">
        <v>3228</v>
      </c>
      <c r="E126" s="2">
        <v>0</v>
      </c>
      <c r="F126" s="2">
        <v>0</v>
      </c>
      <c r="G126" s="2">
        <f t="shared" si="26"/>
        <v>0</v>
      </c>
      <c r="H126" s="2">
        <v>0</v>
      </c>
      <c r="I126" s="2">
        <v>0</v>
      </c>
      <c r="J126" s="2">
        <v>0</v>
      </c>
      <c r="K126" s="2">
        <v>0</v>
      </c>
      <c r="L126" s="2">
        <f t="shared" si="27"/>
        <v>0</v>
      </c>
      <c r="M126" s="2">
        <v>0</v>
      </c>
      <c r="N126" s="2">
        <v>0</v>
      </c>
      <c r="O126" s="2">
        <v>0</v>
      </c>
      <c r="P126" s="2">
        <f t="shared" si="28"/>
        <v>0</v>
      </c>
      <c r="Q126" s="2">
        <v>0</v>
      </c>
      <c r="R126" s="2">
        <v>0</v>
      </c>
      <c r="S126" s="2">
        <v>-101485.6</v>
      </c>
      <c r="T126" s="2">
        <v>31555275.67</v>
      </c>
      <c r="U126" s="2">
        <f t="shared" si="29"/>
        <v>31453790.07</v>
      </c>
      <c r="V126" s="2">
        <v>0</v>
      </c>
      <c r="W126" s="119">
        <f t="shared" si="30"/>
        <v>31453790.07</v>
      </c>
      <c r="X126" s="2">
        <v>0</v>
      </c>
      <c r="Y126" s="168">
        <f t="shared" si="31"/>
        <v>31453790.07</v>
      </c>
    </row>
    <row r="127" spans="1:25" ht="12.75" customHeight="1" collapsed="1">
      <c r="A127" s="164" t="s">
        <v>3229</v>
      </c>
      <c r="B127" s="30"/>
      <c r="C127" s="164" t="s">
        <v>2904</v>
      </c>
      <c r="D127" s="31"/>
      <c r="E127" s="32">
        <v>0</v>
      </c>
      <c r="F127" s="32">
        <v>0</v>
      </c>
      <c r="G127" s="36">
        <f t="shared" si="26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f t="shared" si="27"/>
        <v>0</v>
      </c>
      <c r="M127" s="36">
        <v>0</v>
      </c>
      <c r="N127" s="36">
        <v>0</v>
      </c>
      <c r="O127" s="36">
        <v>0</v>
      </c>
      <c r="P127" s="36">
        <f t="shared" si="28"/>
        <v>0</v>
      </c>
      <c r="Q127" s="36">
        <v>0</v>
      </c>
      <c r="R127" s="36">
        <v>0</v>
      </c>
      <c r="S127" s="36">
        <v>462602.13</v>
      </c>
      <c r="T127" s="36">
        <v>31555275.67</v>
      </c>
      <c r="U127" s="36">
        <f t="shared" si="29"/>
        <v>32017877.8</v>
      </c>
      <c r="V127" s="36">
        <v>0</v>
      </c>
      <c r="W127" s="169">
        <f t="shared" si="30"/>
        <v>32017877.8</v>
      </c>
      <c r="X127" s="36">
        <v>0</v>
      </c>
      <c r="Y127" s="170">
        <f t="shared" si="31"/>
        <v>32017877.8</v>
      </c>
    </row>
    <row r="128" spans="1:25" ht="12.75" customHeight="1">
      <c r="A128" s="1"/>
      <c r="B128" s="30"/>
      <c r="C128" s="164"/>
      <c r="D128" s="31"/>
      <c r="E128" s="32"/>
      <c r="F128" s="32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169"/>
      <c r="X128" s="36"/>
      <c r="Y128" s="170"/>
    </row>
    <row r="129" spans="1:25" s="171" customFormat="1" ht="12.75" customHeight="1">
      <c r="A129" s="29"/>
      <c r="B129" s="23" t="s">
        <v>3230</v>
      </c>
      <c r="C129" s="163"/>
      <c r="D129" s="24"/>
      <c r="E129" s="27">
        <f aca="true" t="shared" si="32" ref="E129:Y129">E122+E123+E127</f>
        <v>0</v>
      </c>
      <c r="F129" s="27">
        <f t="shared" si="32"/>
        <v>0</v>
      </c>
      <c r="G129" s="39">
        <f t="shared" si="32"/>
        <v>0</v>
      </c>
      <c r="H129" s="39">
        <f t="shared" si="32"/>
        <v>0</v>
      </c>
      <c r="I129" s="39">
        <f t="shared" si="32"/>
        <v>0</v>
      </c>
      <c r="J129" s="39">
        <f t="shared" si="32"/>
        <v>0</v>
      </c>
      <c r="K129" s="39">
        <f t="shared" si="32"/>
        <v>0</v>
      </c>
      <c r="L129" s="39">
        <f t="shared" si="32"/>
        <v>0</v>
      </c>
      <c r="M129" s="39">
        <f t="shared" si="32"/>
        <v>0</v>
      </c>
      <c r="N129" s="39">
        <f t="shared" si="32"/>
        <v>0</v>
      </c>
      <c r="O129" s="39">
        <f t="shared" si="32"/>
        <v>0</v>
      </c>
      <c r="P129" s="39">
        <f t="shared" si="32"/>
        <v>0</v>
      </c>
      <c r="Q129" s="39">
        <f t="shared" si="32"/>
        <v>0</v>
      </c>
      <c r="R129" s="39">
        <f t="shared" si="32"/>
        <v>0</v>
      </c>
      <c r="S129" s="39">
        <f t="shared" si="32"/>
        <v>462602.13</v>
      </c>
      <c r="T129" s="39">
        <f t="shared" si="32"/>
        <v>31555275.67</v>
      </c>
      <c r="U129" s="39">
        <f t="shared" si="32"/>
        <v>32017877.8</v>
      </c>
      <c r="V129" s="39">
        <f t="shared" si="32"/>
        <v>0</v>
      </c>
      <c r="W129" s="172">
        <f t="shared" si="32"/>
        <v>32017877.8</v>
      </c>
      <c r="X129" s="39">
        <f t="shared" si="32"/>
        <v>0</v>
      </c>
      <c r="Y129" s="39">
        <f t="shared" si="32"/>
        <v>32017877.8</v>
      </c>
    </row>
    <row r="130" spans="1:25" ht="12.75" customHeight="1">
      <c r="A130" s="1"/>
      <c r="B130" s="30"/>
      <c r="C130" s="164"/>
      <c r="D130" s="31"/>
      <c r="E130" s="32"/>
      <c r="F130" s="32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169"/>
      <c r="X130" s="36"/>
      <c r="Y130" s="36"/>
    </row>
    <row r="131" spans="1:25" s="171" customFormat="1" ht="12.75" customHeight="1">
      <c r="A131" s="29"/>
      <c r="B131" s="23" t="s">
        <v>3231</v>
      </c>
      <c r="C131" s="163"/>
      <c r="D131" s="24"/>
      <c r="E131" s="27">
        <f aca="true" t="shared" si="33" ref="E131:Y131">E119+E129</f>
        <v>7389346.86</v>
      </c>
      <c r="F131" s="27">
        <f t="shared" si="33"/>
        <v>522904.36</v>
      </c>
      <c r="G131" s="39">
        <f t="shared" si="33"/>
        <v>7912251.22</v>
      </c>
      <c r="H131" s="39">
        <f t="shared" si="33"/>
        <v>3079625.17</v>
      </c>
      <c r="I131" s="39">
        <f t="shared" si="33"/>
        <v>1321.91</v>
      </c>
      <c r="J131" s="39">
        <f t="shared" si="33"/>
        <v>0</v>
      </c>
      <c r="K131" s="39">
        <f t="shared" si="33"/>
        <v>0</v>
      </c>
      <c r="L131" s="39">
        <f t="shared" si="33"/>
        <v>1321.91</v>
      </c>
      <c r="M131" s="39">
        <f t="shared" si="33"/>
        <v>0</v>
      </c>
      <c r="N131" s="39">
        <f t="shared" si="33"/>
        <v>10199782.91</v>
      </c>
      <c r="O131" s="39">
        <f t="shared" si="33"/>
        <v>0</v>
      </c>
      <c r="P131" s="39">
        <f t="shared" si="33"/>
        <v>10199782.91</v>
      </c>
      <c r="Q131" s="39">
        <f t="shared" si="33"/>
        <v>0</v>
      </c>
      <c r="R131" s="39">
        <f t="shared" si="33"/>
        <v>1353162.07</v>
      </c>
      <c r="S131" s="39">
        <f t="shared" si="33"/>
        <v>462602.13</v>
      </c>
      <c r="T131" s="39">
        <f t="shared" si="33"/>
        <v>32213590.73</v>
      </c>
      <c r="U131" s="39">
        <f t="shared" si="33"/>
        <v>34029354.93</v>
      </c>
      <c r="V131" s="39">
        <f t="shared" si="33"/>
        <v>273052.11999999994</v>
      </c>
      <c r="W131" s="172">
        <f t="shared" si="33"/>
        <v>55495388.26</v>
      </c>
      <c r="X131" s="39">
        <f t="shared" si="33"/>
        <v>0</v>
      </c>
      <c r="Y131" s="39">
        <f t="shared" si="33"/>
        <v>55495388.26</v>
      </c>
    </row>
    <row r="132" spans="1:25" ht="12.75" customHeight="1">
      <c r="A132" s="1"/>
      <c r="B132" s="30"/>
      <c r="C132" s="164"/>
      <c r="D132" s="31"/>
      <c r="E132" s="32"/>
      <c r="F132" s="32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169"/>
      <c r="X132" s="36"/>
      <c r="Y132" s="170"/>
    </row>
    <row r="133" spans="1:25" ht="12.75" customHeight="1">
      <c r="A133" s="1"/>
      <c r="B133" s="23" t="s">
        <v>2822</v>
      </c>
      <c r="C133" s="163"/>
      <c r="D133" s="24"/>
      <c r="E133" s="32"/>
      <c r="F133" s="32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169"/>
      <c r="X133" s="36"/>
      <c r="Y133" s="170"/>
    </row>
    <row r="134" spans="1:25" ht="12.75" customHeight="1">
      <c r="A134" s="1"/>
      <c r="B134" s="30"/>
      <c r="C134" s="164"/>
      <c r="D134" s="31"/>
      <c r="E134" s="32"/>
      <c r="F134" s="32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169"/>
      <c r="X134" s="36"/>
      <c r="Y134" s="170"/>
    </row>
    <row r="135" spans="1:25" ht="12.75" customHeight="1">
      <c r="A135" s="164"/>
      <c r="B135" s="30" t="s">
        <v>3232</v>
      </c>
      <c r="C135" s="164"/>
      <c r="D135" s="31"/>
      <c r="E135" s="32">
        <v>0</v>
      </c>
      <c r="F135" s="32">
        <v>0</v>
      </c>
      <c r="G135" s="36">
        <f>E135+F135</f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f>I135+J135+K135</f>
        <v>0</v>
      </c>
      <c r="M135" s="36">
        <v>0</v>
      </c>
      <c r="N135" s="36">
        <v>0</v>
      </c>
      <c r="O135" s="36">
        <v>0</v>
      </c>
      <c r="P135" s="36">
        <f>M135+N135+O135</f>
        <v>0</v>
      </c>
      <c r="Q135" s="36">
        <v>0</v>
      </c>
      <c r="R135" s="36">
        <v>0</v>
      </c>
      <c r="S135" s="36">
        <v>0</v>
      </c>
      <c r="T135" s="36">
        <f>T88-T131</f>
        <v>131690770.39</v>
      </c>
      <c r="U135" s="36">
        <f>Q135+R135+S135+T135</f>
        <v>131690770.39</v>
      </c>
      <c r="V135" s="36">
        <v>0</v>
      </c>
      <c r="W135" s="169">
        <f>G135+H135+L135+P135+U135+V135</f>
        <v>131690770.39</v>
      </c>
      <c r="X135" s="36">
        <v>0</v>
      </c>
      <c r="Y135" s="170">
        <f>W135+X135</f>
        <v>131690770.39</v>
      </c>
    </row>
    <row r="136" spans="1:25" ht="12.75" customHeight="1" hidden="1">
      <c r="A136" s="164"/>
      <c r="B136" s="30" t="s">
        <v>3233</v>
      </c>
      <c r="C136" s="164"/>
      <c r="D136" s="31"/>
      <c r="E136" s="32">
        <v>0</v>
      </c>
      <c r="F136" s="32">
        <v>0</v>
      </c>
      <c r="G136" s="36">
        <f>E136+F136</f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f>I136+J136+K136</f>
        <v>0</v>
      </c>
      <c r="M136" s="36">
        <v>0</v>
      </c>
      <c r="N136" s="36">
        <v>0</v>
      </c>
      <c r="O136" s="36"/>
      <c r="P136" s="36">
        <f>M136+N136+O136</f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f>Q136+R136+S136+T136</f>
        <v>0</v>
      </c>
      <c r="V136" s="36">
        <v>0</v>
      </c>
      <c r="W136" s="169">
        <f>G136+H136+L136+P136+U136+V136</f>
        <v>0</v>
      </c>
      <c r="X136" s="170">
        <f>X88-X131</f>
        <v>0</v>
      </c>
      <c r="Y136" s="170">
        <f>W136+X136</f>
        <v>0</v>
      </c>
    </row>
    <row r="137" spans="1:25" ht="12.75" customHeight="1">
      <c r="A137" s="164"/>
      <c r="B137" s="30" t="s">
        <v>3234</v>
      </c>
      <c r="C137" s="164"/>
      <c r="D137" s="31"/>
      <c r="E137" s="32"/>
      <c r="F137" s="32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169"/>
      <c r="X137" s="36"/>
      <c r="Y137" s="170"/>
    </row>
    <row r="138" spans="1:25" ht="12.75" customHeight="1">
      <c r="A138" s="164"/>
      <c r="B138" s="30"/>
      <c r="C138" s="164" t="s">
        <v>3235</v>
      </c>
      <c r="D138" s="31"/>
      <c r="E138" s="32">
        <v>0</v>
      </c>
      <c r="F138" s="32">
        <v>0</v>
      </c>
      <c r="G138" s="36">
        <f>E138+F138</f>
        <v>0</v>
      </c>
      <c r="H138" s="36">
        <v>0</v>
      </c>
      <c r="I138" s="36">
        <v>0</v>
      </c>
      <c r="J138" s="36">
        <f>J88-J131</f>
        <v>0</v>
      </c>
      <c r="K138" s="36">
        <v>0</v>
      </c>
      <c r="L138" s="36">
        <f>I138+J138+K138</f>
        <v>0</v>
      </c>
      <c r="M138" s="36">
        <v>0</v>
      </c>
      <c r="N138" s="36">
        <f>N88-N131</f>
        <v>73624955.60000002</v>
      </c>
      <c r="O138" s="36">
        <v>0</v>
      </c>
      <c r="P138" s="36">
        <f>M138+N138+O138</f>
        <v>73624955.60000002</v>
      </c>
      <c r="Q138" s="36">
        <v>0</v>
      </c>
      <c r="R138" s="36">
        <v>0</v>
      </c>
      <c r="S138" s="36">
        <v>0</v>
      </c>
      <c r="T138" s="36">
        <v>0</v>
      </c>
      <c r="U138" s="36">
        <f>Q138+R138+S138+T138</f>
        <v>0</v>
      </c>
      <c r="V138" s="36">
        <v>0</v>
      </c>
      <c r="W138" s="169">
        <f>G138+H138+L138+P138+U138+V138</f>
        <v>73624955.60000002</v>
      </c>
      <c r="X138" s="36">
        <v>0</v>
      </c>
      <c r="Y138" s="170">
        <f>W138+X138</f>
        <v>73624955.60000002</v>
      </c>
    </row>
    <row r="139" spans="1:25" ht="12.75" customHeight="1">
      <c r="A139" s="164"/>
      <c r="B139" s="30"/>
      <c r="C139" s="164" t="s">
        <v>3236</v>
      </c>
      <c r="D139" s="31"/>
      <c r="E139" s="32">
        <v>0</v>
      </c>
      <c r="F139" s="32">
        <v>0</v>
      </c>
      <c r="G139" s="36">
        <f>E139+F139</f>
        <v>0</v>
      </c>
      <c r="H139" s="36">
        <f>H88-H131</f>
        <v>14843758.24</v>
      </c>
      <c r="I139" s="36">
        <v>0</v>
      </c>
      <c r="J139" s="36">
        <v>0</v>
      </c>
      <c r="K139" s="36">
        <f>K88-K131</f>
        <v>11360423.52</v>
      </c>
      <c r="L139" s="36">
        <f>I139+J139+K139</f>
        <v>11360423.52</v>
      </c>
      <c r="M139" s="36">
        <v>0</v>
      </c>
      <c r="N139" s="36">
        <v>0</v>
      </c>
      <c r="O139" s="36">
        <f>O88-O131</f>
        <v>16905494.610000003</v>
      </c>
      <c r="P139" s="36">
        <f>M139+N139+O139</f>
        <v>16905494.610000003</v>
      </c>
      <c r="Q139" s="36">
        <v>0</v>
      </c>
      <c r="R139" s="36">
        <f>R88-R131</f>
        <v>-299129.29000000004</v>
      </c>
      <c r="S139" s="36">
        <f>S88-S131</f>
        <v>-306981.95</v>
      </c>
      <c r="T139" s="36">
        <v>0</v>
      </c>
      <c r="U139" s="36">
        <f>Q139+R139+S139+T139</f>
        <v>-606111.24</v>
      </c>
      <c r="V139" s="36">
        <v>0</v>
      </c>
      <c r="W139" s="169">
        <f>G139+H139+L139+P139+U139+V139</f>
        <v>42503565.13</v>
      </c>
      <c r="X139" s="36">
        <v>0</v>
      </c>
      <c r="Y139" s="170">
        <f>W139+X139</f>
        <v>42503565.13</v>
      </c>
    </row>
    <row r="140" spans="1:25" ht="12.75" customHeight="1">
      <c r="A140" s="164"/>
      <c r="B140" s="30" t="s">
        <v>3237</v>
      </c>
      <c r="C140" s="164"/>
      <c r="D140" s="31"/>
      <c r="E140" s="32">
        <f>E88-E131</f>
        <v>18522796.61</v>
      </c>
      <c r="F140" s="32">
        <f>F88-F131</f>
        <v>-75.12999999994645</v>
      </c>
      <c r="G140" s="36">
        <f>E140+F140</f>
        <v>18522721.48</v>
      </c>
      <c r="H140" s="36">
        <v>0</v>
      </c>
      <c r="I140" s="36">
        <f>I88-I131</f>
        <v>31308.749999999996</v>
      </c>
      <c r="J140" s="36">
        <v>0</v>
      </c>
      <c r="K140" s="36">
        <v>0</v>
      </c>
      <c r="L140" s="36">
        <f>I140+J140+K140</f>
        <v>31308.749999999996</v>
      </c>
      <c r="M140" s="36">
        <f>M88-M131</f>
        <v>21318.149999999998</v>
      </c>
      <c r="N140" s="36">
        <v>0</v>
      </c>
      <c r="O140" s="36">
        <v>0</v>
      </c>
      <c r="P140" s="36">
        <f>M140+N140+O140</f>
        <v>21318.149999999998</v>
      </c>
      <c r="Q140" s="36">
        <f>Q88-Q131</f>
        <v>5429330.63</v>
      </c>
      <c r="R140" s="36">
        <v>0</v>
      </c>
      <c r="S140" s="36">
        <v>0</v>
      </c>
      <c r="T140" s="36">
        <v>0</v>
      </c>
      <c r="U140" s="36">
        <f>Q140+R140+S140+T140</f>
        <v>5429330.63</v>
      </c>
      <c r="V140" s="36">
        <f>V88-V131</f>
        <v>0</v>
      </c>
      <c r="W140" s="169">
        <f>G140+H140+L140+P140+U140+V140</f>
        <v>24004679.009999998</v>
      </c>
      <c r="X140" s="36">
        <v>0</v>
      </c>
      <c r="Y140" s="170">
        <f>W140+X140</f>
        <v>24004679.009999998</v>
      </c>
    </row>
    <row r="141" spans="1:25" ht="12.75" customHeight="1">
      <c r="A141" s="29"/>
      <c r="B141" s="23"/>
      <c r="C141" s="163"/>
      <c r="D141" s="24"/>
      <c r="E141" s="27"/>
      <c r="F141" s="27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172"/>
      <c r="X141" s="39"/>
      <c r="Y141" s="170"/>
    </row>
    <row r="142" spans="1:25" s="171" customFormat="1" ht="12.75" customHeight="1">
      <c r="A142" s="29"/>
      <c r="B142" s="23" t="s">
        <v>3238</v>
      </c>
      <c r="C142" s="163"/>
      <c r="D142" s="24"/>
      <c r="E142" s="27">
        <f aca="true" t="shared" si="34" ref="E142:Y142">+E135+E136+E138+E139+E140</f>
        <v>18522796.61</v>
      </c>
      <c r="F142" s="27">
        <f t="shared" si="34"/>
        <v>-75.12999999994645</v>
      </c>
      <c r="G142" s="39">
        <f t="shared" si="34"/>
        <v>18522721.48</v>
      </c>
      <c r="H142" s="39">
        <f t="shared" si="34"/>
        <v>14843758.24</v>
      </c>
      <c r="I142" s="39">
        <f t="shared" si="34"/>
        <v>31308.749999999996</v>
      </c>
      <c r="J142" s="39">
        <f t="shared" si="34"/>
        <v>0</v>
      </c>
      <c r="K142" s="39">
        <f t="shared" si="34"/>
        <v>11360423.52</v>
      </c>
      <c r="L142" s="39">
        <f t="shared" si="34"/>
        <v>11391732.27</v>
      </c>
      <c r="M142" s="39">
        <f t="shared" si="34"/>
        <v>21318.149999999998</v>
      </c>
      <c r="N142" s="39">
        <f t="shared" si="34"/>
        <v>73624955.60000002</v>
      </c>
      <c r="O142" s="39">
        <f t="shared" si="34"/>
        <v>16905494.610000003</v>
      </c>
      <c r="P142" s="39">
        <f t="shared" si="34"/>
        <v>90551768.36000003</v>
      </c>
      <c r="Q142" s="39">
        <f t="shared" si="34"/>
        <v>5429330.63</v>
      </c>
      <c r="R142" s="39">
        <f t="shared" si="34"/>
        <v>-299129.29000000004</v>
      </c>
      <c r="S142" s="39">
        <f t="shared" si="34"/>
        <v>-306981.95</v>
      </c>
      <c r="T142" s="39">
        <f t="shared" si="34"/>
        <v>131690770.39</v>
      </c>
      <c r="U142" s="39">
        <f t="shared" si="34"/>
        <v>136513989.78</v>
      </c>
      <c r="V142" s="39">
        <f t="shared" si="34"/>
        <v>0</v>
      </c>
      <c r="W142" s="172">
        <f t="shared" si="34"/>
        <v>271823970.13</v>
      </c>
      <c r="X142" s="39">
        <f t="shared" si="34"/>
        <v>0</v>
      </c>
      <c r="Y142" s="39">
        <f t="shared" si="34"/>
        <v>271823970.13</v>
      </c>
    </row>
    <row r="143" spans="1:25" ht="12.75" customHeight="1">
      <c r="A143" s="1"/>
      <c r="B143" s="30"/>
      <c r="C143" s="164"/>
      <c r="D143" s="31"/>
      <c r="E143" s="32"/>
      <c r="F143" s="32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169"/>
      <c r="X143" s="36"/>
      <c r="Y143" s="36"/>
    </row>
    <row r="144" spans="1:25" s="171" customFormat="1" ht="12.75" customHeight="1">
      <c r="A144" s="29"/>
      <c r="B144" s="23" t="s">
        <v>3239</v>
      </c>
      <c r="C144" s="163"/>
      <c r="D144" s="24"/>
      <c r="E144" s="27">
        <f aca="true" t="shared" si="35" ref="E144:Y144">+E131+E142</f>
        <v>25912143.47</v>
      </c>
      <c r="F144" s="27">
        <f t="shared" si="35"/>
        <v>522829.23000000004</v>
      </c>
      <c r="G144" s="41">
        <f t="shared" si="35"/>
        <v>26434972.7</v>
      </c>
      <c r="H144" s="41">
        <f t="shared" si="35"/>
        <v>17923383.41</v>
      </c>
      <c r="I144" s="41">
        <f t="shared" si="35"/>
        <v>32630.659999999996</v>
      </c>
      <c r="J144" s="41">
        <f t="shared" si="35"/>
        <v>0</v>
      </c>
      <c r="K144" s="41">
        <f t="shared" si="35"/>
        <v>11360423.52</v>
      </c>
      <c r="L144" s="41">
        <f t="shared" si="35"/>
        <v>11393054.18</v>
      </c>
      <c r="M144" s="41">
        <f t="shared" si="35"/>
        <v>21318.149999999998</v>
      </c>
      <c r="N144" s="41">
        <f t="shared" si="35"/>
        <v>83824738.51000002</v>
      </c>
      <c r="O144" s="41">
        <f t="shared" si="35"/>
        <v>16905494.610000003</v>
      </c>
      <c r="P144" s="41">
        <f t="shared" si="35"/>
        <v>100751551.27000003</v>
      </c>
      <c r="Q144" s="41">
        <f t="shared" si="35"/>
        <v>5429330.63</v>
      </c>
      <c r="R144" s="41">
        <f t="shared" si="35"/>
        <v>1054032.78</v>
      </c>
      <c r="S144" s="41">
        <f t="shared" si="35"/>
        <v>155620.18</v>
      </c>
      <c r="T144" s="41">
        <f t="shared" si="35"/>
        <v>163904361.12</v>
      </c>
      <c r="U144" s="41">
        <f t="shared" si="35"/>
        <v>170543344.71</v>
      </c>
      <c r="V144" s="41">
        <f t="shared" si="35"/>
        <v>273052.11999999994</v>
      </c>
      <c r="W144" s="173">
        <f t="shared" si="35"/>
        <v>327319358.39</v>
      </c>
      <c r="X144" s="41">
        <f t="shared" si="35"/>
        <v>0</v>
      </c>
      <c r="Y144" s="41">
        <f t="shared" si="35"/>
        <v>327319358.39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9"/>
  <sheetViews>
    <sheetView zoomScale="75" zoomScaleNormal="75" workbookViewId="0" topLeftCell="A1">
      <pane xSplit="4" ySplit="9" topLeftCell="G5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339" sqref="C339"/>
    </sheetView>
  </sheetViews>
  <sheetFormatPr defaultColWidth="9.140625" defaultRowHeight="12.75" outlineLevelRow="1" outlineLevelCol="1"/>
  <cols>
    <col min="1" max="1" width="1.28515625" style="174" hidden="1" customWidth="1"/>
    <col min="2" max="2" width="3.421875" style="175" customWidth="1"/>
    <col min="3" max="3" width="49.57421875" style="175" customWidth="1"/>
    <col min="4" max="4" width="15.421875" style="175" customWidth="1"/>
    <col min="5" max="6" width="19.57421875" style="174" hidden="1" customWidth="1" outlineLevel="1"/>
    <col min="7" max="7" width="17.8515625" style="175" customWidth="1" collapsed="1"/>
    <col min="8" max="8" width="17.8515625" style="174" customWidth="1"/>
    <col min="9" max="11" width="17.8515625" style="174" hidden="1" customWidth="1" outlineLevel="1"/>
    <col min="12" max="12" width="17.8515625" style="174" customWidth="1" collapsed="1"/>
    <col min="13" max="15" width="17.8515625" style="174" hidden="1" customWidth="1" outlineLevel="1"/>
    <col min="16" max="16" width="17.8515625" style="174" customWidth="1" collapsed="1"/>
    <col min="17" max="20" width="17.8515625" style="174" hidden="1" customWidth="1" outlineLevel="1"/>
    <col min="21" max="21" width="17.8515625" style="175" customWidth="1" collapsed="1"/>
    <col min="22" max="22" width="17.8515625" style="175" customWidth="1"/>
    <col min="23" max="24" width="17.8515625" style="174" hidden="1" customWidth="1"/>
    <col min="25" max="25" width="17.8515625" style="175" hidden="1" customWidth="1"/>
    <col min="26" max="26" width="17.8515625" style="174" hidden="1" customWidth="1"/>
    <col min="27" max="27" width="0" style="174" hidden="1" customWidth="1"/>
    <col min="28" max="16384" width="8.00390625" style="176" customWidth="1"/>
  </cols>
  <sheetData>
    <row r="1" spans="1:26" ht="9" customHeight="1" hidden="1">
      <c r="A1" s="174" t="s">
        <v>3240</v>
      </c>
      <c r="B1" s="175" t="s">
        <v>2792</v>
      </c>
      <c r="C1" s="175" t="s">
        <v>2793</v>
      </c>
      <c r="D1" s="175" t="s">
        <v>100</v>
      </c>
      <c r="E1" s="174" t="s">
        <v>102</v>
      </c>
      <c r="F1" s="174" t="s">
        <v>101</v>
      </c>
      <c r="G1" s="175" t="s">
        <v>2794</v>
      </c>
      <c r="H1" s="174" t="s">
        <v>103</v>
      </c>
      <c r="I1" s="174" t="s">
        <v>104</v>
      </c>
      <c r="J1" s="174" t="s">
        <v>105</v>
      </c>
      <c r="K1" s="174" t="s">
        <v>106</v>
      </c>
      <c r="L1" s="174" t="s">
        <v>2794</v>
      </c>
      <c r="M1" s="174" t="s">
        <v>107</v>
      </c>
      <c r="N1" s="174" t="s">
        <v>108</v>
      </c>
      <c r="O1" s="174" t="s">
        <v>109</v>
      </c>
      <c r="P1" s="174" t="s">
        <v>2794</v>
      </c>
      <c r="Q1" s="175" t="s">
        <v>3241</v>
      </c>
      <c r="R1" s="175" t="s">
        <v>111</v>
      </c>
      <c r="S1" s="175" t="s">
        <v>112</v>
      </c>
      <c r="T1" s="175" t="s">
        <v>3242</v>
      </c>
      <c r="U1" s="175" t="s">
        <v>2794</v>
      </c>
      <c r="V1" s="175" t="s">
        <v>2794</v>
      </c>
      <c r="W1" s="174" t="s">
        <v>115</v>
      </c>
      <c r="X1" s="174" t="s">
        <v>2794</v>
      </c>
      <c r="Y1" s="175" t="s">
        <v>114</v>
      </c>
      <c r="Z1" s="174" t="s">
        <v>2794</v>
      </c>
    </row>
    <row r="2" spans="1:31" s="181" customFormat="1" ht="15.75" customHeight="1">
      <c r="A2" s="177"/>
      <c r="B2" s="5" t="str">
        <f>"University of Missouri - "&amp;RBN</f>
        <v>University of Missouri - Rolla</v>
      </c>
      <c r="C2" s="178"/>
      <c r="D2" s="178"/>
      <c r="E2" s="179"/>
      <c r="F2" s="179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80"/>
      <c r="AA2" s="177"/>
      <c r="AE2" s="182" t="s">
        <v>118</v>
      </c>
    </row>
    <row r="3" spans="1:27" s="187" customFormat="1" ht="15.75" customHeight="1">
      <c r="A3" s="183"/>
      <c r="B3" s="184" t="s">
        <v>3243</v>
      </c>
      <c r="C3" s="51"/>
      <c r="D3" s="51"/>
      <c r="E3" s="185"/>
      <c r="F3" s="185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86"/>
      <c r="AA3" s="183"/>
    </row>
    <row r="4" spans="1:27" s="187" customFormat="1" ht="15.75" customHeight="1">
      <c r="A4" s="183"/>
      <c r="B4" s="86" t="str">
        <f>"For the Year Ending "&amp;TEXT(AA4,"MMMM DD, YYY")</f>
        <v>For the Year Ending June 30, 2006</v>
      </c>
      <c r="C4" s="51"/>
      <c r="D4" s="51"/>
      <c r="E4" s="185"/>
      <c r="F4" s="185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86"/>
      <c r="AA4" s="188" t="s">
        <v>117</v>
      </c>
    </row>
    <row r="5" spans="1:27" s="187" customFormat="1" ht="12.75" customHeight="1">
      <c r="A5" s="183"/>
      <c r="B5" s="189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183"/>
    </row>
    <row r="6" spans="2:26" ht="12.75">
      <c r="B6" s="190"/>
      <c r="C6" s="191"/>
      <c r="D6" s="192"/>
      <c r="E6" s="193"/>
      <c r="F6" s="193"/>
      <c r="G6" s="194"/>
      <c r="H6" s="195"/>
      <c r="I6" s="146"/>
      <c r="J6" s="146"/>
      <c r="K6" s="146"/>
      <c r="L6" s="147"/>
      <c r="M6" s="146" t="s">
        <v>2915</v>
      </c>
      <c r="N6" s="146" t="s">
        <v>119</v>
      </c>
      <c r="O6" s="146" t="s">
        <v>120</v>
      </c>
      <c r="P6" s="147"/>
      <c r="Q6" s="196" t="s">
        <v>121</v>
      </c>
      <c r="R6" s="196"/>
      <c r="S6" s="196"/>
      <c r="T6" s="196"/>
      <c r="U6" s="197"/>
      <c r="V6" s="197" t="s">
        <v>3244</v>
      </c>
      <c r="W6" s="198"/>
      <c r="X6" s="147"/>
      <c r="Y6" s="197"/>
      <c r="Z6" s="198"/>
    </row>
    <row r="7" spans="2:26" ht="12.75">
      <c r="B7" s="199"/>
      <c r="C7" s="200"/>
      <c r="D7" s="201"/>
      <c r="E7" s="193"/>
      <c r="F7" s="193"/>
      <c r="G7" s="199"/>
      <c r="H7" s="202"/>
      <c r="I7" s="146" t="s">
        <v>2915</v>
      </c>
      <c r="J7" s="146" t="s">
        <v>119</v>
      </c>
      <c r="K7" s="146" t="s">
        <v>120</v>
      </c>
      <c r="L7" s="154"/>
      <c r="M7" s="146" t="s">
        <v>123</v>
      </c>
      <c r="N7" s="146" t="s">
        <v>123</v>
      </c>
      <c r="O7" s="146" t="s">
        <v>123</v>
      </c>
      <c r="P7" s="154" t="s">
        <v>123</v>
      </c>
      <c r="Q7" s="146" t="s">
        <v>2915</v>
      </c>
      <c r="R7" s="146" t="s">
        <v>124</v>
      </c>
      <c r="S7" s="196"/>
      <c r="T7" s="196"/>
      <c r="U7" s="154"/>
      <c r="V7" s="154" t="s">
        <v>133</v>
      </c>
      <c r="W7" s="203"/>
      <c r="X7" s="154" t="s">
        <v>3244</v>
      </c>
      <c r="Y7" s="204"/>
      <c r="Z7" s="203"/>
    </row>
    <row r="8" spans="2:26" ht="12.75">
      <c r="B8" s="205"/>
      <c r="C8" s="63"/>
      <c r="D8" s="206"/>
      <c r="E8" s="196"/>
      <c r="F8" s="196"/>
      <c r="G8" s="204" t="s">
        <v>126</v>
      </c>
      <c r="H8" s="204"/>
      <c r="I8" s="146" t="s">
        <v>127</v>
      </c>
      <c r="J8" s="146" t="s">
        <v>127</v>
      </c>
      <c r="K8" s="146" t="s">
        <v>127</v>
      </c>
      <c r="L8" s="154" t="s">
        <v>127</v>
      </c>
      <c r="M8" s="146" t="s">
        <v>128</v>
      </c>
      <c r="N8" s="146" t="s">
        <v>128</v>
      </c>
      <c r="O8" s="146" t="s">
        <v>128</v>
      </c>
      <c r="P8" s="154" t="s">
        <v>128</v>
      </c>
      <c r="Q8" s="146" t="s">
        <v>129</v>
      </c>
      <c r="R8" s="146" t="s">
        <v>129</v>
      </c>
      <c r="S8" s="146" t="s">
        <v>130</v>
      </c>
      <c r="T8" s="146" t="s">
        <v>131</v>
      </c>
      <c r="U8" s="154" t="s">
        <v>3245</v>
      </c>
      <c r="V8" s="154" t="s">
        <v>3246</v>
      </c>
      <c r="W8" s="154" t="s">
        <v>134</v>
      </c>
      <c r="X8" s="154" t="s">
        <v>133</v>
      </c>
      <c r="Y8" s="154"/>
      <c r="Z8" s="154" t="s">
        <v>122</v>
      </c>
    </row>
    <row r="9" spans="2:26" ht="12.75">
      <c r="B9" s="207"/>
      <c r="C9" s="208"/>
      <c r="D9" s="209"/>
      <c r="E9" s="146" t="s">
        <v>136</v>
      </c>
      <c r="F9" s="146" t="s">
        <v>2915</v>
      </c>
      <c r="G9" s="146" t="s">
        <v>2915</v>
      </c>
      <c r="H9" s="146" t="s">
        <v>119</v>
      </c>
      <c r="I9" s="146" t="s">
        <v>125</v>
      </c>
      <c r="J9" s="146" t="s">
        <v>125</v>
      </c>
      <c r="K9" s="146" t="s">
        <v>125</v>
      </c>
      <c r="L9" s="162" t="s">
        <v>125</v>
      </c>
      <c r="M9" s="146" t="s">
        <v>125</v>
      </c>
      <c r="N9" s="146" t="s">
        <v>125</v>
      </c>
      <c r="O9" s="146" t="s">
        <v>125</v>
      </c>
      <c r="P9" s="162" t="s">
        <v>125</v>
      </c>
      <c r="Q9" s="146" t="s">
        <v>137</v>
      </c>
      <c r="R9" s="146" t="s">
        <v>137</v>
      </c>
      <c r="S9" s="146" t="s">
        <v>134</v>
      </c>
      <c r="T9" s="146" t="s">
        <v>138</v>
      </c>
      <c r="U9" s="162" t="s">
        <v>125</v>
      </c>
      <c r="V9" s="162" t="s">
        <v>134</v>
      </c>
      <c r="W9" s="162" t="s">
        <v>125</v>
      </c>
      <c r="X9" s="162" t="s">
        <v>3247</v>
      </c>
      <c r="Y9" s="162" t="s">
        <v>139</v>
      </c>
      <c r="Z9" s="162" t="s">
        <v>125</v>
      </c>
    </row>
    <row r="10" spans="1:27" ht="15">
      <c r="A10" s="210"/>
      <c r="B10" s="64" t="s">
        <v>2828</v>
      </c>
      <c r="C10" s="211"/>
      <c r="D10" s="65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210"/>
    </row>
    <row r="11" spans="1:27" ht="12" customHeight="1">
      <c r="A11" s="212" t="s">
        <v>3248</v>
      </c>
      <c r="B11" s="213"/>
      <c r="C11" s="212" t="s">
        <v>3249</v>
      </c>
      <c r="D11" s="214"/>
      <c r="E11" s="193">
        <v>0</v>
      </c>
      <c r="F11" s="193">
        <v>51695526.330000006</v>
      </c>
      <c r="G11" s="215">
        <f aca="true" t="shared" si="0" ref="G11:G18">E11+F11</f>
        <v>51695526.330000006</v>
      </c>
      <c r="H11" s="215">
        <v>0</v>
      </c>
      <c r="I11" s="215">
        <v>0</v>
      </c>
      <c r="J11" s="215">
        <v>0</v>
      </c>
      <c r="K11" s="215">
        <v>0</v>
      </c>
      <c r="L11" s="215">
        <f>I11+J11+K11</f>
        <v>0</v>
      </c>
      <c r="M11" s="215">
        <v>0</v>
      </c>
      <c r="N11" s="215">
        <v>0</v>
      </c>
      <c r="O11" s="215">
        <v>0</v>
      </c>
      <c r="P11" s="215">
        <f aca="true" t="shared" si="1" ref="P11:P18">M11+N11+O11</f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f aca="true" t="shared" si="2" ref="U11:U18">Q11+R11+S11+T11</f>
        <v>0</v>
      </c>
      <c r="V11" s="215">
        <f aca="true" t="shared" si="3" ref="V11:V18">G11+H11+L11+P11+U11</f>
        <v>51695526.330000006</v>
      </c>
      <c r="W11" s="215">
        <v>0</v>
      </c>
      <c r="X11" s="215">
        <f aca="true" t="shared" si="4" ref="X11:X18">V11+W11</f>
        <v>51695526.330000006</v>
      </c>
      <c r="Y11" s="215">
        <v>0</v>
      </c>
      <c r="Z11" s="215">
        <f aca="true" t="shared" si="5" ref="Z11:Z18">X11+Y11</f>
        <v>51695526.330000006</v>
      </c>
      <c r="AA11" s="212"/>
    </row>
    <row r="12" spans="1:26" ht="12.75" hidden="1" outlineLevel="1">
      <c r="A12" s="174" t="s">
        <v>3250</v>
      </c>
      <c r="C12" s="175" t="s">
        <v>3251</v>
      </c>
      <c r="D12" s="175" t="s">
        <v>3252</v>
      </c>
      <c r="E12" s="174">
        <v>0</v>
      </c>
      <c r="F12" s="174">
        <v>0</v>
      </c>
      <c r="G12" s="175">
        <f t="shared" si="0"/>
        <v>0</v>
      </c>
      <c r="H12" s="174">
        <v>4270510.57</v>
      </c>
      <c r="I12" s="174">
        <v>0</v>
      </c>
      <c r="J12" s="174">
        <v>0</v>
      </c>
      <c r="K12" s="174">
        <v>0</v>
      </c>
      <c r="L12" s="174">
        <f aca="true" t="shared" si="6" ref="L12:L18">J12+I12+K12</f>
        <v>0</v>
      </c>
      <c r="M12" s="174">
        <v>0</v>
      </c>
      <c r="N12" s="174">
        <v>0</v>
      </c>
      <c r="O12" s="174">
        <v>0</v>
      </c>
      <c r="P12" s="174">
        <f t="shared" si="1"/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f t="shared" si="2"/>
        <v>0</v>
      </c>
      <c r="V12" s="175">
        <f t="shared" si="3"/>
        <v>4270510.57</v>
      </c>
      <c r="W12" s="174">
        <v>0</v>
      </c>
      <c r="X12" s="174">
        <f t="shared" si="4"/>
        <v>4270510.57</v>
      </c>
      <c r="Y12" s="175">
        <v>5248206.69</v>
      </c>
      <c r="Z12" s="174">
        <f t="shared" si="5"/>
        <v>9518717.260000002</v>
      </c>
    </row>
    <row r="13" spans="1:26" ht="12.75" hidden="1" outlineLevel="1">
      <c r="A13" s="174" t="s">
        <v>3253</v>
      </c>
      <c r="C13" s="175" t="s">
        <v>3254</v>
      </c>
      <c r="D13" s="175" t="s">
        <v>3255</v>
      </c>
      <c r="E13" s="174">
        <v>0</v>
      </c>
      <c r="F13" s="174">
        <v>0</v>
      </c>
      <c r="G13" s="175">
        <f t="shared" si="0"/>
        <v>0</v>
      </c>
      <c r="H13" s="174">
        <v>1101748.54</v>
      </c>
      <c r="I13" s="174">
        <v>0</v>
      </c>
      <c r="J13" s="174">
        <v>0</v>
      </c>
      <c r="K13" s="174">
        <v>0</v>
      </c>
      <c r="L13" s="174">
        <f t="shared" si="6"/>
        <v>0</v>
      </c>
      <c r="M13" s="174">
        <v>0</v>
      </c>
      <c r="N13" s="174">
        <v>0</v>
      </c>
      <c r="O13" s="174">
        <v>0</v>
      </c>
      <c r="P13" s="174">
        <f t="shared" si="1"/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f t="shared" si="2"/>
        <v>0</v>
      </c>
      <c r="V13" s="175">
        <f t="shared" si="3"/>
        <v>1101748.54</v>
      </c>
      <c r="W13" s="174">
        <v>0</v>
      </c>
      <c r="X13" s="174">
        <f t="shared" si="4"/>
        <v>1101748.54</v>
      </c>
      <c r="Y13" s="175">
        <v>1004839.22</v>
      </c>
      <c r="Z13" s="174">
        <f t="shared" si="5"/>
        <v>2106587.76</v>
      </c>
    </row>
    <row r="14" spans="1:26" ht="12.75" hidden="1" outlineLevel="1">
      <c r="A14" s="174" t="s">
        <v>3256</v>
      </c>
      <c r="C14" s="175" t="s">
        <v>3257</v>
      </c>
      <c r="D14" s="175" t="s">
        <v>3258</v>
      </c>
      <c r="E14" s="174">
        <v>0</v>
      </c>
      <c r="F14" s="174">
        <v>0</v>
      </c>
      <c r="G14" s="175">
        <f t="shared" si="0"/>
        <v>0</v>
      </c>
      <c r="H14" s="174">
        <v>546446.12</v>
      </c>
      <c r="I14" s="174">
        <v>0</v>
      </c>
      <c r="J14" s="174">
        <v>0</v>
      </c>
      <c r="K14" s="174">
        <v>0</v>
      </c>
      <c r="L14" s="174">
        <f t="shared" si="6"/>
        <v>0</v>
      </c>
      <c r="M14" s="174">
        <v>0</v>
      </c>
      <c r="N14" s="174">
        <v>0</v>
      </c>
      <c r="O14" s="174">
        <v>0</v>
      </c>
      <c r="P14" s="174">
        <f t="shared" si="1"/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f t="shared" si="2"/>
        <v>0</v>
      </c>
      <c r="V14" s="175">
        <f t="shared" si="3"/>
        <v>546446.12</v>
      </c>
      <c r="W14" s="174">
        <v>0</v>
      </c>
      <c r="X14" s="174">
        <f t="shared" si="4"/>
        <v>546446.12</v>
      </c>
      <c r="Y14" s="175">
        <v>24985.28</v>
      </c>
      <c r="Z14" s="174">
        <f t="shared" si="5"/>
        <v>571431.4</v>
      </c>
    </row>
    <row r="15" spans="1:26" ht="12.75" hidden="1" outlineLevel="1">
      <c r="A15" s="174" t="s">
        <v>3259</v>
      </c>
      <c r="C15" s="175" t="s">
        <v>3260</v>
      </c>
      <c r="D15" s="175" t="s">
        <v>3261</v>
      </c>
      <c r="E15" s="174">
        <v>0</v>
      </c>
      <c r="F15" s="174">
        <v>0</v>
      </c>
      <c r="G15" s="175">
        <f t="shared" si="0"/>
        <v>0</v>
      </c>
      <c r="H15" s="174">
        <v>738935.78</v>
      </c>
      <c r="I15" s="174">
        <v>0</v>
      </c>
      <c r="J15" s="174">
        <v>0</v>
      </c>
      <c r="K15" s="174">
        <v>0</v>
      </c>
      <c r="L15" s="174">
        <f t="shared" si="6"/>
        <v>0</v>
      </c>
      <c r="M15" s="174">
        <v>0</v>
      </c>
      <c r="N15" s="174">
        <v>0</v>
      </c>
      <c r="O15" s="174">
        <v>0</v>
      </c>
      <c r="P15" s="174">
        <f t="shared" si="1"/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f t="shared" si="2"/>
        <v>0</v>
      </c>
      <c r="V15" s="175">
        <f t="shared" si="3"/>
        <v>738935.78</v>
      </c>
      <c r="W15" s="174">
        <v>0</v>
      </c>
      <c r="X15" s="174">
        <f t="shared" si="4"/>
        <v>738935.78</v>
      </c>
      <c r="Y15" s="175">
        <v>0</v>
      </c>
      <c r="Z15" s="174">
        <f t="shared" si="5"/>
        <v>738935.78</v>
      </c>
    </row>
    <row r="16" spans="1:26" ht="12.75" hidden="1" outlineLevel="1">
      <c r="A16" s="174" t="s">
        <v>3262</v>
      </c>
      <c r="C16" s="175" t="s">
        <v>3263</v>
      </c>
      <c r="D16" s="175" t="s">
        <v>3264</v>
      </c>
      <c r="E16" s="174">
        <v>0</v>
      </c>
      <c r="F16" s="174">
        <v>0</v>
      </c>
      <c r="G16" s="175">
        <f t="shared" si="0"/>
        <v>0</v>
      </c>
      <c r="H16" s="174">
        <v>7289.8</v>
      </c>
      <c r="I16" s="174">
        <v>0</v>
      </c>
      <c r="J16" s="174">
        <v>0</v>
      </c>
      <c r="K16" s="174">
        <v>0</v>
      </c>
      <c r="L16" s="174">
        <f t="shared" si="6"/>
        <v>0</v>
      </c>
      <c r="M16" s="174">
        <v>0</v>
      </c>
      <c r="N16" s="174">
        <v>0</v>
      </c>
      <c r="O16" s="174">
        <v>0</v>
      </c>
      <c r="P16" s="174">
        <f t="shared" si="1"/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f t="shared" si="2"/>
        <v>0</v>
      </c>
      <c r="V16" s="175">
        <f t="shared" si="3"/>
        <v>7289.8</v>
      </c>
      <c r="W16" s="174">
        <v>0</v>
      </c>
      <c r="X16" s="174">
        <f t="shared" si="4"/>
        <v>7289.8</v>
      </c>
      <c r="Y16" s="175">
        <v>0</v>
      </c>
      <c r="Z16" s="174">
        <f t="shared" si="5"/>
        <v>7289.8</v>
      </c>
    </row>
    <row r="17" spans="1:26" ht="12.75" hidden="1" outlineLevel="1">
      <c r="A17" s="174" t="s">
        <v>3265</v>
      </c>
      <c r="C17" s="175" t="s">
        <v>3266</v>
      </c>
      <c r="D17" s="175" t="s">
        <v>3267</v>
      </c>
      <c r="E17" s="174">
        <v>0</v>
      </c>
      <c r="F17" s="174">
        <v>0</v>
      </c>
      <c r="G17" s="175">
        <f t="shared" si="0"/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f t="shared" si="6"/>
        <v>0</v>
      </c>
      <c r="M17" s="174">
        <v>0</v>
      </c>
      <c r="N17" s="174">
        <v>0</v>
      </c>
      <c r="O17" s="174">
        <v>0</v>
      </c>
      <c r="P17" s="174">
        <f t="shared" si="1"/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f t="shared" si="2"/>
        <v>0</v>
      </c>
      <c r="V17" s="175">
        <f t="shared" si="3"/>
        <v>0</v>
      </c>
      <c r="W17" s="174">
        <v>0</v>
      </c>
      <c r="X17" s="174">
        <f t="shared" si="4"/>
        <v>0</v>
      </c>
      <c r="Y17" s="175">
        <v>500</v>
      </c>
      <c r="Z17" s="174">
        <f t="shared" si="5"/>
        <v>500</v>
      </c>
    </row>
    <row r="18" spans="1:27" ht="12" customHeight="1" collapsed="1">
      <c r="A18" s="212" t="s">
        <v>3268</v>
      </c>
      <c r="B18" s="213"/>
      <c r="C18" s="212" t="s">
        <v>2785</v>
      </c>
      <c r="D18" s="214"/>
      <c r="E18" s="193">
        <v>0</v>
      </c>
      <c r="F18" s="193">
        <v>10359800.48</v>
      </c>
      <c r="G18" s="116">
        <f t="shared" si="0"/>
        <v>10359800.48</v>
      </c>
      <c r="H18" s="116">
        <v>6664930.810000001</v>
      </c>
      <c r="I18" s="116">
        <v>0</v>
      </c>
      <c r="J18" s="116">
        <v>0</v>
      </c>
      <c r="K18" s="116">
        <v>0</v>
      </c>
      <c r="L18" s="116">
        <f t="shared" si="6"/>
        <v>0</v>
      </c>
      <c r="M18" s="116">
        <v>0</v>
      </c>
      <c r="N18" s="116">
        <v>0</v>
      </c>
      <c r="O18" s="116">
        <v>0</v>
      </c>
      <c r="P18" s="116">
        <f t="shared" si="1"/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f t="shared" si="2"/>
        <v>0</v>
      </c>
      <c r="V18" s="116">
        <f t="shared" si="3"/>
        <v>17024731.290000003</v>
      </c>
      <c r="W18" s="116">
        <v>0</v>
      </c>
      <c r="X18" s="116">
        <f t="shared" si="4"/>
        <v>17024731.290000003</v>
      </c>
      <c r="Y18" s="116">
        <v>6278531.19</v>
      </c>
      <c r="Z18" s="116">
        <f t="shared" si="5"/>
        <v>23303262.480000004</v>
      </c>
      <c r="AA18" s="212"/>
    </row>
    <row r="19" spans="1:27" ht="15.75">
      <c r="A19" s="216"/>
      <c r="B19" s="217"/>
      <c r="C19" s="218" t="s">
        <v>3269</v>
      </c>
      <c r="D19" s="74"/>
      <c r="E19" s="155">
        <f aca="true" t="shared" si="7" ref="E19:Z19">E11-E18</f>
        <v>0</v>
      </c>
      <c r="F19" s="155">
        <f t="shared" si="7"/>
        <v>41335725.85000001</v>
      </c>
      <c r="G19" s="117">
        <f t="shared" si="7"/>
        <v>41335725.85000001</v>
      </c>
      <c r="H19" s="117">
        <f t="shared" si="7"/>
        <v>-6664930.810000001</v>
      </c>
      <c r="I19" s="117">
        <f t="shared" si="7"/>
        <v>0</v>
      </c>
      <c r="J19" s="117">
        <f t="shared" si="7"/>
        <v>0</v>
      </c>
      <c r="K19" s="117">
        <f t="shared" si="7"/>
        <v>0</v>
      </c>
      <c r="L19" s="117">
        <f t="shared" si="7"/>
        <v>0</v>
      </c>
      <c r="M19" s="117">
        <f t="shared" si="7"/>
        <v>0</v>
      </c>
      <c r="N19" s="117">
        <f t="shared" si="7"/>
        <v>0</v>
      </c>
      <c r="O19" s="117">
        <f t="shared" si="7"/>
        <v>0</v>
      </c>
      <c r="P19" s="117">
        <f t="shared" si="7"/>
        <v>0</v>
      </c>
      <c r="Q19" s="117">
        <f t="shared" si="7"/>
        <v>0</v>
      </c>
      <c r="R19" s="117">
        <f t="shared" si="7"/>
        <v>0</v>
      </c>
      <c r="S19" s="117">
        <f t="shared" si="7"/>
        <v>0</v>
      </c>
      <c r="T19" s="117">
        <f t="shared" si="7"/>
        <v>0</v>
      </c>
      <c r="U19" s="117">
        <f t="shared" si="7"/>
        <v>0</v>
      </c>
      <c r="V19" s="117">
        <f t="shared" si="7"/>
        <v>34670795.04000001</v>
      </c>
      <c r="W19" s="117">
        <f t="shared" si="7"/>
        <v>0</v>
      </c>
      <c r="X19" s="117">
        <f t="shared" si="7"/>
        <v>34670795.04000001</v>
      </c>
      <c r="Y19" s="117">
        <f t="shared" si="7"/>
        <v>-6278531.19</v>
      </c>
      <c r="Z19" s="117">
        <f t="shared" si="7"/>
        <v>28392263.85</v>
      </c>
      <c r="AA19" s="210"/>
    </row>
    <row r="20" spans="2:26" ht="12" customHeight="1">
      <c r="B20" s="213"/>
      <c r="C20" s="212"/>
      <c r="D20" s="214"/>
      <c r="E20" s="193"/>
      <c r="F20" s="193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7" ht="12.75">
      <c r="A21" s="212" t="s">
        <v>3270</v>
      </c>
      <c r="B21" s="213"/>
      <c r="C21" s="212" t="s">
        <v>2830</v>
      </c>
      <c r="D21" s="214"/>
      <c r="E21" s="193">
        <v>0</v>
      </c>
      <c r="F21" s="193">
        <v>0</v>
      </c>
      <c r="G21" s="116">
        <f aca="true" t="shared" si="8" ref="G21:G29">E21+F21</f>
        <v>0</v>
      </c>
      <c r="H21" s="116">
        <v>26298215.55</v>
      </c>
      <c r="I21" s="116">
        <v>0</v>
      </c>
      <c r="J21" s="116">
        <v>0</v>
      </c>
      <c r="K21" s="116">
        <v>0</v>
      </c>
      <c r="L21" s="116">
        <f aca="true" t="shared" si="9" ref="L21:L29">J21+I21+K21</f>
        <v>0</v>
      </c>
      <c r="M21" s="116">
        <v>0</v>
      </c>
      <c r="N21" s="116">
        <v>0</v>
      </c>
      <c r="O21" s="116">
        <v>0</v>
      </c>
      <c r="P21" s="116">
        <f aca="true" t="shared" si="10" ref="P21:P29">M21+N21+O21</f>
        <v>0</v>
      </c>
      <c r="Q21" s="116">
        <v>0</v>
      </c>
      <c r="R21" s="116">
        <v>0</v>
      </c>
      <c r="S21" s="116">
        <v>0</v>
      </c>
      <c r="T21" s="116">
        <v>0</v>
      </c>
      <c r="U21" s="116"/>
      <c r="V21" s="116">
        <f>G21+H21+L21+P21</f>
        <v>26298215.55</v>
      </c>
      <c r="W21" s="116">
        <v>0</v>
      </c>
      <c r="X21" s="116">
        <f aca="true" t="shared" si="11" ref="X21:X29">V21+W21</f>
        <v>26298215.55</v>
      </c>
      <c r="Y21" s="116">
        <v>0</v>
      </c>
      <c r="Z21" s="116">
        <f aca="true" t="shared" si="12" ref="Z21:Z29">X21+Y21</f>
        <v>26298215.55</v>
      </c>
      <c r="AA21" s="212"/>
    </row>
    <row r="22" spans="1:27" ht="12.75">
      <c r="A22" s="212" t="s">
        <v>3271</v>
      </c>
      <c r="B22" s="213"/>
      <c r="C22" s="212" t="s">
        <v>2831</v>
      </c>
      <c r="D22" s="214"/>
      <c r="E22" s="193">
        <v>0</v>
      </c>
      <c r="F22" s="193">
        <v>0</v>
      </c>
      <c r="G22" s="116">
        <f t="shared" si="8"/>
        <v>0</v>
      </c>
      <c r="H22" s="116">
        <v>2835678.58</v>
      </c>
      <c r="I22" s="116">
        <v>0</v>
      </c>
      <c r="J22" s="116">
        <v>0</v>
      </c>
      <c r="K22" s="116">
        <v>0</v>
      </c>
      <c r="L22" s="116">
        <f t="shared" si="9"/>
        <v>0</v>
      </c>
      <c r="M22" s="116">
        <v>0</v>
      </c>
      <c r="N22" s="116">
        <v>0</v>
      </c>
      <c r="O22" s="116">
        <v>0</v>
      </c>
      <c r="P22" s="116">
        <f t="shared" si="10"/>
        <v>0</v>
      </c>
      <c r="Q22" s="116">
        <v>0</v>
      </c>
      <c r="R22" s="116">
        <v>0</v>
      </c>
      <c r="S22" s="116">
        <v>0</v>
      </c>
      <c r="T22" s="116">
        <v>0</v>
      </c>
      <c r="U22" s="116"/>
      <c r="V22" s="116">
        <f aca="true" t="shared" si="13" ref="V22:V29">G22+H22+L22+P22+U22</f>
        <v>2835678.58</v>
      </c>
      <c r="W22" s="116">
        <v>0</v>
      </c>
      <c r="X22" s="116">
        <f t="shared" si="11"/>
        <v>2835678.58</v>
      </c>
      <c r="Y22" s="116">
        <v>1621000</v>
      </c>
      <c r="Z22" s="116">
        <f t="shared" si="12"/>
        <v>4456678.58</v>
      </c>
      <c r="AA22" s="212"/>
    </row>
    <row r="23" spans="1:27" ht="12.75">
      <c r="A23" s="212" t="s">
        <v>3272</v>
      </c>
      <c r="B23" s="213"/>
      <c r="C23" s="212" t="s">
        <v>2832</v>
      </c>
      <c r="D23" s="214"/>
      <c r="E23" s="193">
        <v>0</v>
      </c>
      <c r="F23" s="193">
        <v>0</v>
      </c>
      <c r="G23" s="116">
        <f t="shared" si="8"/>
        <v>0</v>
      </c>
      <c r="H23" s="116">
        <v>7539549.38</v>
      </c>
      <c r="I23" s="116">
        <v>0</v>
      </c>
      <c r="J23" s="116">
        <v>0</v>
      </c>
      <c r="K23" s="116">
        <v>0</v>
      </c>
      <c r="L23" s="116">
        <f t="shared" si="9"/>
        <v>0</v>
      </c>
      <c r="M23" s="116">
        <v>0</v>
      </c>
      <c r="N23" s="116">
        <v>0</v>
      </c>
      <c r="O23" s="116">
        <v>0</v>
      </c>
      <c r="P23" s="116">
        <f t="shared" si="10"/>
        <v>0</v>
      </c>
      <c r="Q23" s="116">
        <v>0</v>
      </c>
      <c r="R23" s="116">
        <v>0</v>
      </c>
      <c r="S23" s="116">
        <v>0</v>
      </c>
      <c r="T23" s="116">
        <v>0</v>
      </c>
      <c r="U23" s="116"/>
      <c r="V23" s="116">
        <f t="shared" si="13"/>
        <v>7539549.38</v>
      </c>
      <c r="W23" s="116">
        <v>0</v>
      </c>
      <c r="X23" s="116">
        <f t="shared" si="11"/>
        <v>7539549.38</v>
      </c>
      <c r="Y23" s="116">
        <v>0</v>
      </c>
      <c r="Z23" s="116">
        <f t="shared" si="12"/>
        <v>7539549.38</v>
      </c>
      <c r="AA23" s="212"/>
    </row>
    <row r="24" spans="1:26" ht="12.75" hidden="1" outlineLevel="1">
      <c r="A24" s="174" t="s">
        <v>3273</v>
      </c>
      <c r="C24" s="175" t="s">
        <v>3274</v>
      </c>
      <c r="D24" s="175" t="s">
        <v>3275</v>
      </c>
      <c r="E24" s="174">
        <v>0</v>
      </c>
      <c r="F24" s="174">
        <v>0</v>
      </c>
      <c r="G24" s="175">
        <f t="shared" si="8"/>
        <v>0</v>
      </c>
      <c r="H24" s="174">
        <v>111.52</v>
      </c>
      <c r="I24" s="174">
        <v>0</v>
      </c>
      <c r="J24" s="174">
        <v>0</v>
      </c>
      <c r="K24" s="174">
        <v>0</v>
      </c>
      <c r="L24" s="174">
        <f t="shared" si="9"/>
        <v>0</v>
      </c>
      <c r="M24" s="174">
        <v>0</v>
      </c>
      <c r="N24" s="174">
        <v>0</v>
      </c>
      <c r="O24" s="174">
        <v>0</v>
      </c>
      <c r="P24" s="174">
        <f t="shared" si="10"/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f aca="true" t="shared" si="14" ref="U24:U29">Q24+R24+S24+T24</f>
        <v>0</v>
      </c>
      <c r="V24" s="175">
        <f t="shared" si="13"/>
        <v>111.52</v>
      </c>
      <c r="W24" s="174">
        <v>0</v>
      </c>
      <c r="X24" s="174">
        <f t="shared" si="11"/>
        <v>111.52</v>
      </c>
      <c r="Y24" s="175">
        <v>0</v>
      </c>
      <c r="Z24" s="174">
        <f t="shared" si="12"/>
        <v>111.52</v>
      </c>
    </row>
    <row r="25" spans="1:26" ht="12.75" hidden="1" outlineLevel="1">
      <c r="A25" s="174" t="s">
        <v>3276</v>
      </c>
      <c r="C25" s="175" t="s">
        <v>3277</v>
      </c>
      <c r="D25" s="175" t="s">
        <v>3278</v>
      </c>
      <c r="E25" s="174">
        <v>0</v>
      </c>
      <c r="F25" s="174">
        <v>0</v>
      </c>
      <c r="G25" s="175">
        <f t="shared" si="8"/>
        <v>0</v>
      </c>
      <c r="H25" s="174">
        <v>5200</v>
      </c>
      <c r="I25" s="174">
        <v>0</v>
      </c>
      <c r="J25" s="174">
        <v>0</v>
      </c>
      <c r="K25" s="174">
        <v>0</v>
      </c>
      <c r="L25" s="174">
        <f t="shared" si="9"/>
        <v>0</v>
      </c>
      <c r="M25" s="174">
        <v>0</v>
      </c>
      <c r="N25" s="174">
        <v>0</v>
      </c>
      <c r="O25" s="174">
        <v>0</v>
      </c>
      <c r="P25" s="174">
        <f t="shared" si="10"/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f t="shared" si="14"/>
        <v>0</v>
      </c>
      <c r="V25" s="175">
        <f t="shared" si="13"/>
        <v>5200</v>
      </c>
      <c r="W25" s="174">
        <v>0</v>
      </c>
      <c r="X25" s="174">
        <f t="shared" si="11"/>
        <v>5200</v>
      </c>
      <c r="Y25" s="175">
        <v>685.04</v>
      </c>
      <c r="Z25" s="174">
        <f t="shared" si="12"/>
        <v>5885.04</v>
      </c>
    </row>
    <row r="26" spans="1:26" ht="12.75" hidden="1" outlineLevel="1">
      <c r="A26" s="174" t="s">
        <v>3279</v>
      </c>
      <c r="C26" s="175" t="s">
        <v>3280</v>
      </c>
      <c r="D26" s="175" t="s">
        <v>3281</v>
      </c>
      <c r="E26" s="174">
        <v>0</v>
      </c>
      <c r="F26" s="174">
        <v>0</v>
      </c>
      <c r="G26" s="175">
        <f t="shared" si="8"/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f t="shared" si="9"/>
        <v>0</v>
      </c>
      <c r="M26" s="174">
        <v>0</v>
      </c>
      <c r="N26" s="174">
        <v>0</v>
      </c>
      <c r="O26" s="174">
        <v>0</v>
      </c>
      <c r="P26" s="174">
        <f t="shared" si="10"/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f t="shared" si="14"/>
        <v>0</v>
      </c>
      <c r="V26" s="175">
        <f t="shared" si="13"/>
        <v>0</v>
      </c>
      <c r="W26" s="174">
        <v>0</v>
      </c>
      <c r="X26" s="174">
        <f t="shared" si="11"/>
        <v>0</v>
      </c>
      <c r="Y26" s="175">
        <v>1405</v>
      </c>
      <c r="Z26" s="174">
        <f t="shared" si="12"/>
        <v>1405</v>
      </c>
    </row>
    <row r="27" spans="1:26" ht="12.75" hidden="1" outlineLevel="1">
      <c r="A27" s="174" t="s">
        <v>3282</v>
      </c>
      <c r="C27" s="175" t="s">
        <v>3283</v>
      </c>
      <c r="D27" s="175" t="s">
        <v>3284</v>
      </c>
      <c r="E27" s="174">
        <v>0</v>
      </c>
      <c r="F27" s="174">
        <v>0</v>
      </c>
      <c r="G27" s="175">
        <f t="shared" si="8"/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f t="shared" si="9"/>
        <v>0</v>
      </c>
      <c r="M27" s="174">
        <v>0</v>
      </c>
      <c r="N27" s="174">
        <v>0</v>
      </c>
      <c r="O27" s="174">
        <v>0</v>
      </c>
      <c r="P27" s="174">
        <f t="shared" si="10"/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f t="shared" si="14"/>
        <v>0</v>
      </c>
      <c r="V27" s="175">
        <f t="shared" si="13"/>
        <v>0</v>
      </c>
      <c r="W27" s="174">
        <v>0</v>
      </c>
      <c r="X27" s="174">
        <f t="shared" si="11"/>
        <v>0</v>
      </c>
      <c r="Y27" s="175">
        <v>40</v>
      </c>
      <c r="Z27" s="174">
        <f t="shared" si="12"/>
        <v>40</v>
      </c>
    </row>
    <row r="28" spans="1:26" ht="12.75" hidden="1" outlineLevel="1">
      <c r="A28" s="174" t="s">
        <v>3285</v>
      </c>
      <c r="C28" s="175" t="s">
        <v>3286</v>
      </c>
      <c r="D28" s="175" t="s">
        <v>3287</v>
      </c>
      <c r="E28" s="174">
        <v>0</v>
      </c>
      <c r="F28" s="174">
        <v>0</v>
      </c>
      <c r="G28" s="175">
        <f t="shared" si="8"/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f t="shared" si="9"/>
        <v>0</v>
      </c>
      <c r="M28" s="174">
        <v>0</v>
      </c>
      <c r="N28" s="174">
        <v>0</v>
      </c>
      <c r="O28" s="174">
        <v>0</v>
      </c>
      <c r="P28" s="174">
        <f t="shared" si="10"/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f t="shared" si="14"/>
        <v>0</v>
      </c>
      <c r="V28" s="175">
        <f t="shared" si="13"/>
        <v>0</v>
      </c>
      <c r="W28" s="174">
        <v>0</v>
      </c>
      <c r="X28" s="174">
        <f t="shared" si="11"/>
        <v>0</v>
      </c>
      <c r="Y28" s="175">
        <v>-965</v>
      </c>
      <c r="Z28" s="174">
        <f t="shared" si="12"/>
        <v>-965</v>
      </c>
    </row>
    <row r="29" spans="1:27" ht="12.75" collapsed="1">
      <c r="A29" s="212" t="s">
        <v>3288</v>
      </c>
      <c r="B29" s="213"/>
      <c r="C29" s="212" t="s">
        <v>3289</v>
      </c>
      <c r="D29" s="214"/>
      <c r="E29" s="193">
        <v>0</v>
      </c>
      <c r="F29" s="193">
        <v>355700.89</v>
      </c>
      <c r="G29" s="116">
        <f t="shared" si="8"/>
        <v>355700.89</v>
      </c>
      <c r="H29" s="116">
        <v>5311.52</v>
      </c>
      <c r="I29" s="116">
        <v>0</v>
      </c>
      <c r="J29" s="116">
        <v>0</v>
      </c>
      <c r="K29" s="116">
        <v>0</v>
      </c>
      <c r="L29" s="116">
        <f t="shared" si="9"/>
        <v>0</v>
      </c>
      <c r="M29" s="116">
        <v>0</v>
      </c>
      <c r="N29" s="116">
        <v>0</v>
      </c>
      <c r="O29" s="116">
        <v>0</v>
      </c>
      <c r="P29" s="116">
        <f t="shared" si="10"/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f t="shared" si="14"/>
        <v>0</v>
      </c>
      <c r="V29" s="116">
        <f t="shared" si="13"/>
        <v>361012.41000000003</v>
      </c>
      <c r="W29" s="116">
        <v>0</v>
      </c>
      <c r="X29" s="116">
        <f t="shared" si="11"/>
        <v>361012.41000000003</v>
      </c>
      <c r="Y29" s="116">
        <v>1165.04</v>
      </c>
      <c r="Z29" s="116">
        <f t="shared" si="12"/>
        <v>362177.45</v>
      </c>
      <c r="AA29" s="212"/>
    </row>
    <row r="30" spans="1:27" ht="12.75">
      <c r="A30" s="212"/>
      <c r="B30" s="213"/>
      <c r="C30" s="212" t="s">
        <v>3290</v>
      </c>
      <c r="D30" s="214"/>
      <c r="E30" s="193"/>
      <c r="F30" s="193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212"/>
    </row>
    <row r="31" spans="1:27" ht="12.75">
      <c r="A31" s="212"/>
      <c r="B31" s="213"/>
      <c r="C31" s="212" t="s">
        <v>3291</v>
      </c>
      <c r="D31" s="214"/>
      <c r="E31" s="193">
        <v>0</v>
      </c>
      <c r="F31" s="193">
        <v>0</v>
      </c>
      <c r="G31" s="116">
        <f aca="true" t="shared" si="15" ref="G31:G58">E31+F31</f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 aca="true" t="shared" si="16" ref="L31:L58">J31+I31+K31</f>
        <v>0</v>
      </c>
      <c r="M31" s="116">
        <v>0</v>
      </c>
      <c r="N31" s="116">
        <v>0</v>
      </c>
      <c r="O31" s="116">
        <v>0</v>
      </c>
      <c r="P31" s="116">
        <f aca="true" t="shared" si="17" ref="P31:P58">M31+N31+O31</f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f aca="true" t="shared" si="18" ref="U31:U58">Q31+R31+S31+T31</f>
        <v>0</v>
      </c>
      <c r="V31" s="116">
        <f aca="true" t="shared" si="19" ref="V31:V58">G31+H31+L31+P31+U31</f>
        <v>0</v>
      </c>
      <c r="W31" s="116">
        <v>0</v>
      </c>
      <c r="X31" s="116">
        <f aca="true" t="shared" si="20" ref="X31:X58">V31+W31</f>
        <v>0</v>
      </c>
      <c r="Y31" s="116">
        <v>0</v>
      </c>
      <c r="Z31" s="116">
        <f aca="true" t="shared" si="21" ref="Z31:Z58">X31+Y31</f>
        <v>0</v>
      </c>
      <c r="AA31" s="212"/>
    </row>
    <row r="32" spans="1:27" ht="12.75">
      <c r="A32" s="212"/>
      <c r="B32" s="213"/>
      <c r="C32" s="212" t="s">
        <v>3292</v>
      </c>
      <c r="D32" s="214"/>
      <c r="E32" s="193">
        <v>0</v>
      </c>
      <c r="F32" s="193">
        <v>7691945.88</v>
      </c>
      <c r="G32" s="116">
        <f t="shared" si="15"/>
        <v>7691945.88</v>
      </c>
      <c r="H32" s="116">
        <v>0</v>
      </c>
      <c r="I32" s="116">
        <v>0</v>
      </c>
      <c r="J32" s="116">
        <v>0</v>
      </c>
      <c r="K32" s="116">
        <v>0</v>
      </c>
      <c r="L32" s="116">
        <f t="shared" si="16"/>
        <v>0</v>
      </c>
      <c r="M32" s="116">
        <v>0</v>
      </c>
      <c r="N32" s="116">
        <v>0</v>
      </c>
      <c r="O32" s="116">
        <v>0</v>
      </c>
      <c r="P32" s="116">
        <f t="shared" si="17"/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f t="shared" si="18"/>
        <v>0</v>
      </c>
      <c r="V32" s="116">
        <f t="shared" si="19"/>
        <v>7691945.88</v>
      </c>
      <c r="W32" s="116">
        <v>0</v>
      </c>
      <c r="X32" s="116">
        <f t="shared" si="20"/>
        <v>7691945.88</v>
      </c>
      <c r="Y32" s="116">
        <v>0</v>
      </c>
      <c r="Z32" s="116">
        <f t="shared" si="21"/>
        <v>7691945.88</v>
      </c>
      <c r="AA32" s="212"/>
    </row>
    <row r="33" spans="1:27" ht="12.75">
      <c r="A33" s="212"/>
      <c r="B33" s="213"/>
      <c r="C33" s="212" t="s">
        <v>3293</v>
      </c>
      <c r="D33" s="214"/>
      <c r="E33" s="193">
        <v>0</v>
      </c>
      <c r="F33" s="193">
        <v>0</v>
      </c>
      <c r="G33" s="116">
        <f t="shared" si="15"/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 t="shared" si="16"/>
        <v>0</v>
      </c>
      <c r="M33" s="116">
        <v>0</v>
      </c>
      <c r="N33" s="116">
        <v>0</v>
      </c>
      <c r="O33" s="116">
        <v>0</v>
      </c>
      <c r="P33" s="116">
        <f t="shared" si="17"/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f t="shared" si="18"/>
        <v>0</v>
      </c>
      <c r="V33" s="116">
        <f t="shared" si="19"/>
        <v>0</v>
      </c>
      <c r="W33" s="116">
        <v>0</v>
      </c>
      <c r="X33" s="116">
        <f t="shared" si="20"/>
        <v>0</v>
      </c>
      <c r="Y33" s="116">
        <v>0</v>
      </c>
      <c r="Z33" s="116">
        <f t="shared" si="21"/>
        <v>0</v>
      </c>
      <c r="AA33" s="212"/>
    </row>
    <row r="34" spans="1:27" ht="12.75">
      <c r="A34" s="212" t="s">
        <v>3294</v>
      </c>
      <c r="B34" s="213"/>
      <c r="C34" s="212" t="s">
        <v>3295</v>
      </c>
      <c r="D34" s="214"/>
      <c r="E34" s="193">
        <v>0</v>
      </c>
      <c r="F34" s="193">
        <v>0</v>
      </c>
      <c r="G34" s="116">
        <f t="shared" si="15"/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 t="shared" si="16"/>
        <v>0</v>
      </c>
      <c r="M34" s="116">
        <v>0</v>
      </c>
      <c r="N34" s="116">
        <v>0</v>
      </c>
      <c r="O34" s="116">
        <v>0</v>
      </c>
      <c r="P34" s="116">
        <f t="shared" si="17"/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f t="shared" si="18"/>
        <v>0</v>
      </c>
      <c r="V34" s="116">
        <f t="shared" si="19"/>
        <v>0</v>
      </c>
      <c r="W34" s="116">
        <v>0</v>
      </c>
      <c r="X34" s="116">
        <f t="shared" si="20"/>
        <v>0</v>
      </c>
      <c r="Y34" s="116">
        <v>0</v>
      </c>
      <c r="Z34" s="116">
        <f t="shared" si="21"/>
        <v>0</v>
      </c>
      <c r="AA34" s="212"/>
    </row>
    <row r="35" spans="1:27" ht="12.75">
      <c r="A35" s="212"/>
      <c r="B35" s="213"/>
      <c r="C35" s="212" t="s">
        <v>3296</v>
      </c>
      <c r="D35" s="214"/>
      <c r="E35" s="193">
        <v>0</v>
      </c>
      <c r="F35" s="193">
        <v>2757158.14</v>
      </c>
      <c r="G35" s="116">
        <f t="shared" si="15"/>
        <v>2757158.14</v>
      </c>
      <c r="H35" s="116">
        <v>0</v>
      </c>
      <c r="I35" s="116">
        <v>0</v>
      </c>
      <c r="J35" s="116">
        <v>0</v>
      </c>
      <c r="K35" s="116">
        <v>0</v>
      </c>
      <c r="L35" s="116">
        <f t="shared" si="16"/>
        <v>0</v>
      </c>
      <c r="M35" s="116">
        <v>0</v>
      </c>
      <c r="N35" s="116">
        <v>0</v>
      </c>
      <c r="O35" s="116">
        <v>0</v>
      </c>
      <c r="P35" s="116">
        <f t="shared" si="17"/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f t="shared" si="18"/>
        <v>0</v>
      </c>
      <c r="V35" s="116">
        <f t="shared" si="19"/>
        <v>2757158.14</v>
      </c>
      <c r="W35" s="116">
        <v>0</v>
      </c>
      <c r="X35" s="116">
        <f t="shared" si="20"/>
        <v>2757158.14</v>
      </c>
      <c r="Y35" s="116">
        <v>0</v>
      </c>
      <c r="Z35" s="116">
        <f t="shared" si="21"/>
        <v>2757158.14</v>
      </c>
      <c r="AA35" s="212"/>
    </row>
    <row r="36" spans="1:26" ht="12.75" hidden="1" outlineLevel="1">
      <c r="A36" s="174" t="s">
        <v>3297</v>
      </c>
      <c r="C36" s="175" t="s">
        <v>3298</v>
      </c>
      <c r="D36" s="175" t="s">
        <v>3299</v>
      </c>
      <c r="E36" s="174">
        <v>0</v>
      </c>
      <c r="F36" s="174">
        <v>0</v>
      </c>
      <c r="G36" s="175">
        <f t="shared" si="15"/>
        <v>0</v>
      </c>
      <c r="H36" s="174">
        <v>0</v>
      </c>
      <c r="I36" s="174">
        <v>0</v>
      </c>
      <c r="J36" s="174">
        <v>0</v>
      </c>
      <c r="K36" s="174">
        <v>61.89</v>
      </c>
      <c r="L36" s="174">
        <f t="shared" si="16"/>
        <v>61.89</v>
      </c>
      <c r="M36" s="174">
        <v>0</v>
      </c>
      <c r="N36" s="174">
        <v>0</v>
      </c>
      <c r="O36" s="174">
        <v>0</v>
      </c>
      <c r="P36" s="174">
        <f t="shared" si="17"/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f t="shared" si="18"/>
        <v>0</v>
      </c>
      <c r="V36" s="175">
        <f t="shared" si="19"/>
        <v>61.89</v>
      </c>
      <c r="W36" s="174">
        <v>0</v>
      </c>
      <c r="X36" s="174">
        <f t="shared" si="20"/>
        <v>61.89</v>
      </c>
      <c r="Y36" s="175">
        <v>0</v>
      </c>
      <c r="Z36" s="174">
        <f t="shared" si="21"/>
        <v>61.89</v>
      </c>
    </row>
    <row r="37" spans="1:26" ht="12.75" hidden="1" outlineLevel="1">
      <c r="A37" s="174" t="s">
        <v>3300</v>
      </c>
      <c r="C37" s="175" t="s">
        <v>3301</v>
      </c>
      <c r="D37" s="175" t="s">
        <v>3302</v>
      </c>
      <c r="E37" s="174">
        <v>0</v>
      </c>
      <c r="F37" s="174">
        <v>0</v>
      </c>
      <c r="G37" s="175">
        <f t="shared" si="15"/>
        <v>0</v>
      </c>
      <c r="H37" s="174">
        <v>0</v>
      </c>
      <c r="I37" s="174">
        <v>1723.88</v>
      </c>
      <c r="J37" s="174">
        <v>0</v>
      </c>
      <c r="K37" s="174">
        <v>183692.94</v>
      </c>
      <c r="L37" s="174">
        <f t="shared" si="16"/>
        <v>185416.82</v>
      </c>
      <c r="M37" s="174">
        <v>0</v>
      </c>
      <c r="N37" s="174">
        <v>0</v>
      </c>
      <c r="O37" s="174">
        <v>0</v>
      </c>
      <c r="P37" s="174">
        <f t="shared" si="17"/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f t="shared" si="18"/>
        <v>0</v>
      </c>
      <c r="V37" s="175">
        <f t="shared" si="19"/>
        <v>185416.82</v>
      </c>
      <c r="W37" s="174">
        <v>0</v>
      </c>
      <c r="X37" s="174">
        <f t="shared" si="20"/>
        <v>185416.82</v>
      </c>
      <c r="Y37" s="175">
        <v>0</v>
      </c>
      <c r="Z37" s="174">
        <f t="shared" si="21"/>
        <v>185416.82</v>
      </c>
    </row>
    <row r="38" spans="1:26" ht="12.75" hidden="1" outlineLevel="1">
      <c r="A38" s="174" t="s">
        <v>3303</v>
      </c>
      <c r="C38" s="175" t="s">
        <v>3304</v>
      </c>
      <c r="D38" s="175" t="s">
        <v>3305</v>
      </c>
      <c r="E38" s="174">
        <v>0</v>
      </c>
      <c r="F38" s="174">
        <v>0</v>
      </c>
      <c r="G38" s="175">
        <f t="shared" si="15"/>
        <v>0</v>
      </c>
      <c r="H38" s="174">
        <v>0</v>
      </c>
      <c r="I38" s="174">
        <v>0</v>
      </c>
      <c r="J38" s="174">
        <v>0</v>
      </c>
      <c r="K38" s="174">
        <v>9400.93</v>
      </c>
      <c r="L38" s="174">
        <f t="shared" si="16"/>
        <v>9400.93</v>
      </c>
      <c r="M38" s="174">
        <v>0</v>
      </c>
      <c r="N38" s="174">
        <v>0</v>
      </c>
      <c r="O38" s="174">
        <v>0</v>
      </c>
      <c r="P38" s="174">
        <f t="shared" si="17"/>
        <v>0</v>
      </c>
      <c r="Q38" s="175">
        <v>0</v>
      </c>
      <c r="R38" s="175">
        <v>0</v>
      </c>
      <c r="S38" s="175">
        <v>0</v>
      </c>
      <c r="T38" s="175">
        <v>0</v>
      </c>
      <c r="U38" s="175">
        <f t="shared" si="18"/>
        <v>0</v>
      </c>
      <c r="V38" s="175">
        <f t="shared" si="19"/>
        <v>9400.93</v>
      </c>
      <c r="W38" s="174">
        <v>0</v>
      </c>
      <c r="X38" s="174">
        <f t="shared" si="20"/>
        <v>9400.93</v>
      </c>
      <c r="Y38" s="175">
        <v>0</v>
      </c>
      <c r="Z38" s="174">
        <f t="shared" si="21"/>
        <v>9400.93</v>
      </c>
    </row>
    <row r="39" spans="1:26" ht="12.75" hidden="1" outlineLevel="1">
      <c r="A39" s="174" t="s">
        <v>3306</v>
      </c>
      <c r="C39" s="175" t="s">
        <v>3307</v>
      </c>
      <c r="D39" s="175" t="s">
        <v>3308</v>
      </c>
      <c r="E39" s="174">
        <v>0</v>
      </c>
      <c r="F39" s="174">
        <v>0</v>
      </c>
      <c r="G39" s="175">
        <f t="shared" si="15"/>
        <v>0</v>
      </c>
      <c r="H39" s="174">
        <v>0</v>
      </c>
      <c r="I39" s="174">
        <v>0</v>
      </c>
      <c r="J39" s="174">
        <v>0</v>
      </c>
      <c r="K39" s="174">
        <v>360</v>
      </c>
      <c r="L39" s="174">
        <f t="shared" si="16"/>
        <v>360</v>
      </c>
      <c r="M39" s="174">
        <v>0</v>
      </c>
      <c r="N39" s="174">
        <v>0</v>
      </c>
      <c r="O39" s="174">
        <v>0</v>
      </c>
      <c r="P39" s="174">
        <f t="shared" si="17"/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f t="shared" si="18"/>
        <v>0</v>
      </c>
      <c r="V39" s="175">
        <f t="shared" si="19"/>
        <v>360</v>
      </c>
      <c r="W39" s="174">
        <v>0</v>
      </c>
      <c r="X39" s="174">
        <f t="shared" si="20"/>
        <v>360</v>
      </c>
      <c r="Y39" s="175">
        <v>0</v>
      </c>
      <c r="Z39" s="174">
        <f t="shared" si="21"/>
        <v>360</v>
      </c>
    </row>
    <row r="40" spans="1:26" ht="12.75" hidden="1" outlineLevel="1">
      <c r="A40" s="174" t="s">
        <v>3309</v>
      </c>
      <c r="C40" s="175" t="s">
        <v>3310</v>
      </c>
      <c r="D40" s="175" t="s">
        <v>3311</v>
      </c>
      <c r="E40" s="174">
        <v>0</v>
      </c>
      <c r="F40" s="174">
        <v>0</v>
      </c>
      <c r="G40" s="175">
        <f t="shared" si="15"/>
        <v>0</v>
      </c>
      <c r="H40" s="174">
        <v>0</v>
      </c>
      <c r="I40" s="174">
        <v>0</v>
      </c>
      <c r="J40" s="174">
        <v>0</v>
      </c>
      <c r="K40" s="174">
        <v>-3600</v>
      </c>
      <c r="L40" s="174">
        <f t="shared" si="16"/>
        <v>-3600</v>
      </c>
      <c r="M40" s="174">
        <v>0</v>
      </c>
      <c r="N40" s="174">
        <v>0</v>
      </c>
      <c r="O40" s="174">
        <v>0</v>
      </c>
      <c r="P40" s="174">
        <f t="shared" si="17"/>
        <v>0</v>
      </c>
      <c r="Q40" s="175">
        <v>0</v>
      </c>
      <c r="R40" s="175">
        <v>0</v>
      </c>
      <c r="S40" s="175">
        <v>0</v>
      </c>
      <c r="T40" s="175">
        <v>0</v>
      </c>
      <c r="U40" s="175">
        <f t="shared" si="18"/>
        <v>0</v>
      </c>
      <c r="V40" s="175">
        <f t="shared" si="19"/>
        <v>-3600</v>
      </c>
      <c r="W40" s="174">
        <v>0</v>
      </c>
      <c r="X40" s="174">
        <f t="shared" si="20"/>
        <v>-3600</v>
      </c>
      <c r="Y40" s="175">
        <v>0</v>
      </c>
      <c r="Z40" s="174">
        <f t="shared" si="21"/>
        <v>-3600</v>
      </c>
    </row>
    <row r="41" spans="1:26" ht="12.75" hidden="1" outlineLevel="1">
      <c r="A41" s="174" t="s">
        <v>3312</v>
      </c>
      <c r="C41" s="175" t="s">
        <v>3313</v>
      </c>
      <c r="D41" s="175" t="s">
        <v>3314</v>
      </c>
      <c r="E41" s="174">
        <v>0</v>
      </c>
      <c r="F41" s="174">
        <v>0</v>
      </c>
      <c r="G41" s="175">
        <f t="shared" si="15"/>
        <v>0</v>
      </c>
      <c r="H41" s="174">
        <v>0</v>
      </c>
      <c r="I41" s="174">
        <v>0</v>
      </c>
      <c r="J41" s="174">
        <v>0</v>
      </c>
      <c r="K41" s="174">
        <v>-848.36</v>
      </c>
      <c r="L41" s="174">
        <f t="shared" si="16"/>
        <v>-848.36</v>
      </c>
      <c r="M41" s="174">
        <v>0</v>
      </c>
      <c r="N41" s="174">
        <v>0</v>
      </c>
      <c r="O41" s="174">
        <v>0</v>
      </c>
      <c r="P41" s="174">
        <f t="shared" si="17"/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f t="shared" si="18"/>
        <v>0</v>
      </c>
      <c r="V41" s="175">
        <f t="shared" si="19"/>
        <v>-848.36</v>
      </c>
      <c r="W41" s="174">
        <v>0</v>
      </c>
      <c r="X41" s="174">
        <f t="shared" si="20"/>
        <v>-848.36</v>
      </c>
      <c r="Y41" s="175">
        <v>0</v>
      </c>
      <c r="Z41" s="174">
        <f t="shared" si="21"/>
        <v>-848.36</v>
      </c>
    </row>
    <row r="42" spans="1:26" ht="12.75" hidden="1" outlineLevel="1">
      <c r="A42" s="174" t="s">
        <v>3315</v>
      </c>
      <c r="C42" s="175" t="s">
        <v>3316</v>
      </c>
      <c r="D42" s="175" t="s">
        <v>3317</v>
      </c>
      <c r="E42" s="174">
        <v>0</v>
      </c>
      <c r="F42" s="174">
        <v>0</v>
      </c>
      <c r="G42" s="175">
        <f t="shared" si="15"/>
        <v>0</v>
      </c>
      <c r="H42" s="174">
        <v>0</v>
      </c>
      <c r="I42" s="174">
        <v>-4184.06</v>
      </c>
      <c r="J42" s="174">
        <v>0</v>
      </c>
      <c r="K42" s="174">
        <v>-698865.37</v>
      </c>
      <c r="L42" s="174">
        <f t="shared" si="16"/>
        <v>-703049.43</v>
      </c>
      <c r="M42" s="174">
        <v>0</v>
      </c>
      <c r="N42" s="174">
        <v>0</v>
      </c>
      <c r="O42" s="174">
        <v>0</v>
      </c>
      <c r="P42" s="174">
        <f t="shared" si="17"/>
        <v>0</v>
      </c>
      <c r="Q42" s="175">
        <v>0</v>
      </c>
      <c r="R42" s="175">
        <v>0</v>
      </c>
      <c r="S42" s="175">
        <v>0</v>
      </c>
      <c r="T42" s="175">
        <v>0</v>
      </c>
      <c r="U42" s="175">
        <f t="shared" si="18"/>
        <v>0</v>
      </c>
      <c r="V42" s="175">
        <f t="shared" si="19"/>
        <v>-703049.43</v>
      </c>
      <c r="W42" s="174">
        <v>0</v>
      </c>
      <c r="X42" s="174">
        <f t="shared" si="20"/>
        <v>-703049.43</v>
      </c>
      <c r="Y42" s="175">
        <v>0</v>
      </c>
      <c r="Z42" s="174">
        <f t="shared" si="21"/>
        <v>-703049.43</v>
      </c>
    </row>
    <row r="43" spans="1:26" ht="12.75" hidden="1" outlineLevel="1">
      <c r="A43" s="174" t="s">
        <v>3318</v>
      </c>
      <c r="C43" s="175" t="s">
        <v>3319</v>
      </c>
      <c r="D43" s="175" t="s">
        <v>3320</v>
      </c>
      <c r="E43" s="174">
        <v>0</v>
      </c>
      <c r="F43" s="174">
        <v>0</v>
      </c>
      <c r="G43" s="175">
        <f t="shared" si="15"/>
        <v>0</v>
      </c>
      <c r="H43" s="174">
        <v>0</v>
      </c>
      <c r="I43" s="174">
        <v>0</v>
      </c>
      <c r="J43" s="174">
        <v>0</v>
      </c>
      <c r="K43" s="174">
        <v>-1740</v>
      </c>
      <c r="L43" s="174">
        <f t="shared" si="16"/>
        <v>-1740</v>
      </c>
      <c r="M43" s="174">
        <v>0</v>
      </c>
      <c r="N43" s="174">
        <v>0</v>
      </c>
      <c r="O43" s="174">
        <v>0</v>
      </c>
      <c r="P43" s="174">
        <f t="shared" si="17"/>
        <v>0</v>
      </c>
      <c r="Q43" s="175">
        <v>0</v>
      </c>
      <c r="R43" s="175">
        <v>0</v>
      </c>
      <c r="S43" s="175">
        <v>0</v>
      </c>
      <c r="T43" s="175">
        <v>0</v>
      </c>
      <c r="U43" s="175">
        <f t="shared" si="18"/>
        <v>0</v>
      </c>
      <c r="V43" s="175">
        <f t="shared" si="19"/>
        <v>-1740</v>
      </c>
      <c r="W43" s="174">
        <v>0</v>
      </c>
      <c r="X43" s="174">
        <f t="shared" si="20"/>
        <v>-1740</v>
      </c>
      <c r="Y43" s="175">
        <v>0</v>
      </c>
      <c r="Z43" s="174">
        <f t="shared" si="21"/>
        <v>-1740</v>
      </c>
    </row>
    <row r="44" spans="1:26" ht="12.75" hidden="1" outlineLevel="1">
      <c r="A44" s="174" t="s">
        <v>3321</v>
      </c>
      <c r="C44" s="175" t="s">
        <v>3322</v>
      </c>
      <c r="D44" s="175" t="s">
        <v>3323</v>
      </c>
      <c r="E44" s="174">
        <v>0</v>
      </c>
      <c r="F44" s="174">
        <v>0</v>
      </c>
      <c r="G44" s="175">
        <f t="shared" si="15"/>
        <v>0</v>
      </c>
      <c r="H44" s="174">
        <v>0</v>
      </c>
      <c r="I44" s="174">
        <v>0</v>
      </c>
      <c r="J44" s="174">
        <v>0</v>
      </c>
      <c r="K44" s="174">
        <v>-7660.93</v>
      </c>
      <c r="L44" s="174">
        <f t="shared" si="16"/>
        <v>-7660.93</v>
      </c>
      <c r="M44" s="174">
        <v>0</v>
      </c>
      <c r="N44" s="174">
        <v>0</v>
      </c>
      <c r="O44" s="174">
        <v>0</v>
      </c>
      <c r="P44" s="174">
        <f t="shared" si="17"/>
        <v>0</v>
      </c>
      <c r="Q44" s="175">
        <v>0</v>
      </c>
      <c r="R44" s="175">
        <v>0</v>
      </c>
      <c r="S44" s="175">
        <v>0</v>
      </c>
      <c r="T44" s="175">
        <v>0</v>
      </c>
      <c r="U44" s="175">
        <f t="shared" si="18"/>
        <v>0</v>
      </c>
      <c r="V44" s="175">
        <f t="shared" si="19"/>
        <v>-7660.93</v>
      </c>
      <c r="W44" s="174">
        <v>0</v>
      </c>
      <c r="X44" s="174">
        <f t="shared" si="20"/>
        <v>-7660.93</v>
      </c>
      <c r="Y44" s="175">
        <v>0</v>
      </c>
      <c r="Z44" s="174">
        <f t="shared" si="21"/>
        <v>-7660.93</v>
      </c>
    </row>
    <row r="45" spans="1:26" ht="12.75" hidden="1" outlineLevel="1">
      <c r="A45" s="174" t="s">
        <v>3324</v>
      </c>
      <c r="C45" s="175" t="s">
        <v>3325</v>
      </c>
      <c r="D45" s="175" t="s">
        <v>3326</v>
      </c>
      <c r="E45" s="174">
        <v>0</v>
      </c>
      <c r="F45" s="174">
        <v>0</v>
      </c>
      <c r="G45" s="175">
        <f t="shared" si="15"/>
        <v>0</v>
      </c>
      <c r="H45" s="174">
        <v>0</v>
      </c>
      <c r="I45" s="174">
        <v>0</v>
      </c>
      <c r="J45" s="174">
        <v>0</v>
      </c>
      <c r="K45" s="174">
        <v>-360</v>
      </c>
      <c r="L45" s="174">
        <f t="shared" si="16"/>
        <v>-360</v>
      </c>
      <c r="M45" s="174">
        <v>0</v>
      </c>
      <c r="N45" s="174">
        <v>0</v>
      </c>
      <c r="O45" s="174">
        <v>0</v>
      </c>
      <c r="P45" s="174">
        <f t="shared" si="17"/>
        <v>0</v>
      </c>
      <c r="Q45" s="175">
        <v>0</v>
      </c>
      <c r="R45" s="175">
        <v>0</v>
      </c>
      <c r="S45" s="175">
        <v>0</v>
      </c>
      <c r="T45" s="175">
        <v>0</v>
      </c>
      <c r="U45" s="175">
        <f t="shared" si="18"/>
        <v>0</v>
      </c>
      <c r="V45" s="175">
        <f t="shared" si="19"/>
        <v>-360</v>
      </c>
      <c r="W45" s="174">
        <v>0</v>
      </c>
      <c r="X45" s="174">
        <f t="shared" si="20"/>
        <v>-360</v>
      </c>
      <c r="Y45" s="175">
        <v>0</v>
      </c>
      <c r="Z45" s="174">
        <f t="shared" si="21"/>
        <v>-360</v>
      </c>
    </row>
    <row r="46" spans="1:26" ht="12.75" hidden="1" outlineLevel="1">
      <c r="A46" s="174" t="s">
        <v>3327</v>
      </c>
      <c r="C46" s="175" t="s">
        <v>3328</v>
      </c>
      <c r="D46" s="175" t="s">
        <v>3329</v>
      </c>
      <c r="E46" s="174">
        <v>0</v>
      </c>
      <c r="F46" s="174">
        <v>0</v>
      </c>
      <c r="G46" s="175">
        <f t="shared" si="15"/>
        <v>0</v>
      </c>
      <c r="H46" s="174">
        <v>0</v>
      </c>
      <c r="I46" s="174">
        <v>0</v>
      </c>
      <c r="J46" s="174">
        <v>0</v>
      </c>
      <c r="K46" s="174">
        <v>-61.89</v>
      </c>
      <c r="L46" s="174">
        <f t="shared" si="16"/>
        <v>-61.89</v>
      </c>
      <c r="M46" s="174">
        <v>0</v>
      </c>
      <c r="N46" s="174">
        <v>0</v>
      </c>
      <c r="O46" s="174">
        <v>0</v>
      </c>
      <c r="P46" s="174">
        <f t="shared" si="17"/>
        <v>0</v>
      </c>
      <c r="Q46" s="175">
        <v>0</v>
      </c>
      <c r="R46" s="175">
        <v>0</v>
      </c>
      <c r="S46" s="175">
        <v>0</v>
      </c>
      <c r="T46" s="175">
        <v>0</v>
      </c>
      <c r="U46" s="175">
        <f t="shared" si="18"/>
        <v>0</v>
      </c>
      <c r="V46" s="175">
        <f t="shared" si="19"/>
        <v>-61.89</v>
      </c>
      <c r="W46" s="174">
        <v>0</v>
      </c>
      <c r="X46" s="174">
        <f t="shared" si="20"/>
        <v>-61.89</v>
      </c>
      <c r="Y46" s="175">
        <v>0</v>
      </c>
      <c r="Z46" s="174">
        <f t="shared" si="21"/>
        <v>-61.89</v>
      </c>
    </row>
    <row r="47" spans="1:26" ht="12.75" hidden="1" outlineLevel="1">
      <c r="A47" s="174" t="s">
        <v>3330</v>
      </c>
      <c r="C47" s="175" t="s">
        <v>3331</v>
      </c>
      <c r="D47" s="175" t="s">
        <v>3332</v>
      </c>
      <c r="E47" s="174">
        <v>0</v>
      </c>
      <c r="F47" s="174">
        <v>0</v>
      </c>
      <c r="G47" s="175">
        <f t="shared" si="15"/>
        <v>0</v>
      </c>
      <c r="H47" s="174">
        <v>0</v>
      </c>
      <c r="I47" s="174">
        <v>0</v>
      </c>
      <c r="J47" s="174">
        <v>0</v>
      </c>
      <c r="K47" s="174">
        <v>-17958.23</v>
      </c>
      <c r="L47" s="174">
        <f t="shared" si="16"/>
        <v>-17958.23</v>
      </c>
      <c r="M47" s="174">
        <v>0</v>
      </c>
      <c r="N47" s="174">
        <v>0</v>
      </c>
      <c r="O47" s="174">
        <v>0</v>
      </c>
      <c r="P47" s="174">
        <f t="shared" si="17"/>
        <v>0</v>
      </c>
      <c r="Q47" s="175">
        <v>0</v>
      </c>
      <c r="R47" s="175">
        <v>0</v>
      </c>
      <c r="S47" s="175">
        <v>0</v>
      </c>
      <c r="T47" s="175">
        <v>0</v>
      </c>
      <c r="U47" s="175">
        <f t="shared" si="18"/>
        <v>0</v>
      </c>
      <c r="V47" s="175">
        <f t="shared" si="19"/>
        <v>-17958.23</v>
      </c>
      <c r="W47" s="174">
        <v>0</v>
      </c>
      <c r="X47" s="174">
        <f t="shared" si="20"/>
        <v>-17958.23</v>
      </c>
      <c r="Y47" s="175">
        <v>0</v>
      </c>
      <c r="Z47" s="174">
        <f t="shared" si="21"/>
        <v>-17958.23</v>
      </c>
    </row>
    <row r="48" spans="1:27" ht="12.75" collapsed="1">
      <c r="A48" s="212" t="s">
        <v>3333</v>
      </c>
      <c r="B48" s="213"/>
      <c r="C48" s="212" t="s">
        <v>2835</v>
      </c>
      <c r="D48" s="214"/>
      <c r="E48" s="193">
        <v>0</v>
      </c>
      <c r="F48" s="193">
        <v>0</v>
      </c>
      <c r="G48" s="116">
        <f t="shared" si="15"/>
        <v>0</v>
      </c>
      <c r="H48" s="116">
        <v>0</v>
      </c>
      <c r="I48" s="116">
        <v>-2460.18</v>
      </c>
      <c r="J48" s="116">
        <v>0</v>
      </c>
      <c r="K48" s="116">
        <v>-537579.02</v>
      </c>
      <c r="L48" s="116">
        <f t="shared" si="16"/>
        <v>-540039.2000000001</v>
      </c>
      <c r="M48" s="116">
        <v>0</v>
      </c>
      <c r="N48" s="116">
        <v>0</v>
      </c>
      <c r="O48" s="116">
        <v>0</v>
      </c>
      <c r="P48" s="116">
        <f t="shared" si="17"/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f t="shared" si="18"/>
        <v>0</v>
      </c>
      <c r="V48" s="116">
        <f t="shared" si="19"/>
        <v>-540039.2000000001</v>
      </c>
      <c r="W48" s="116">
        <v>0</v>
      </c>
      <c r="X48" s="116">
        <f t="shared" si="20"/>
        <v>-540039.2000000001</v>
      </c>
      <c r="Y48" s="116">
        <v>0</v>
      </c>
      <c r="Z48" s="116">
        <f t="shared" si="21"/>
        <v>-540039.2000000001</v>
      </c>
      <c r="AA48" s="212"/>
    </row>
    <row r="49" spans="1:26" ht="12.75" hidden="1" outlineLevel="1">
      <c r="A49" s="174" t="s">
        <v>3334</v>
      </c>
      <c r="C49" s="175" t="s">
        <v>3335</v>
      </c>
      <c r="D49" s="175" t="s">
        <v>3336</v>
      </c>
      <c r="E49" s="174">
        <v>0</v>
      </c>
      <c r="F49" s="174">
        <v>0</v>
      </c>
      <c r="G49" s="175">
        <f t="shared" si="15"/>
        <v>0</v>
      </c>
      <c r="H49" s="174">
        <v>28736.5</v>
      </c>
      <c r="I49" s="174">
        <v>0</v>
      </c>
      <c r="J49" s="174">
        <v>0</v>
      </c>
      <c r="K49" s="174">
        <v>0</v>
      </c>
      <c r="L49" s="174">
        <f t="shared" si="16"/>
        <v>0</v>
      </c>
      <c r="M49" s="174">
        <v>0</v>
      </c>
      <c r="N49" s="174">
        <v>0</v>
      </c>
      <c r="O49" s="174">
        <v>0</v>
      </c>
      <c r="P49" s="174">
        <f t="shared" si="17"/>
        <v>0</v>
      </c>
      <c r="Q49" s="175">
        <v>0</v>
      </c>
      <c r="R49" s="175">
        <v>0</v>
      </c>
      <c r="S49" s="175">
        <v>0</v>
      </c>
      <c r="T49" s="175">
        <v>0</v>
      </c>
      <c r="U49" s="175">
        <f t="shared" si="18"/>
        <v>0</v>
      </c>
      <c r="V49" s="175">
        <f t="shared" si="19"/>
        <v>28736.5</v>
      </c>
      <c r="W49" s="174">
        <v>0</v>
      </c>
      <c r="X49" s="174">
        <f t="shared" si="20"/>
        <v>28736.5</v>
      </c>
      <c r="Y49" s="175">
        <v>4980</v>
      </c>
      <c r="Z49" s="174">
        <f t="shared" si="21"/>
        <v>33716.5</v>
      </c>
    </row>
    <row r="50" spans="1:26" ht="12.75" hidden="1" outlineLevel="1">
      <c r="A50" s="174" t="s">
        <v>3337</v>
      </c>
      <c r="C50" s="175" t="s">
        <v>3338</v>
      </c>
      <c r="D50" s="175" t="s">
        <v>3339</v>
      </c>
      <c r="E50" s="174">
        <v>0</v>
      </c>
      <c r="F50" s="174">
        <v>0</v>
      </c>
      <c r="G50" s="175">
        <f t="shared" si="15"/>
        <v>0</v>
      </c>
      <c r="H50" s="174">
        <v>2274.94</v>
      </c>
      <c r="I50" s="174">
        <v>0</v>
      </c>
      <c r="J50" s="174">
        <v>0</v>
      </c>
      <c r="K50" s="174">
        <v>0</v>
      </c>
      <c r="L50" s="174">
        <f t="shared" si="16"/>
        <v>0</v>
      </c>
      <c r="M50" s="174">
        <v>0</v>
      </c>
      <c r="N50" s="174">
        <v>0</v>
      </c>
      <c r="O50" s="174">
        <v>0</v>
      </c>
      <c r="P50" s="174">
        <f t="shared" si="17"/>
        <v>0</v>
      </c>
      <c r="Q50" s="175">
        <v>0</v>
      </c>
      <c r="R50" s="175">
        <v>0</v>
      </c>
      <c r="S50" s="175">
        <v>0</v>
      </c>
      <c r="T50" s="175">
        <v>0</v>
      </c>
      <c r="U50" s="175">
        <f t="shared" si="18"/>
        <v>0</v>
      </c>
      <c r="V50" s="175">
        <f t="shared" si="19"/>
        <v>2274.94</v>
      </c>
      <c r="W50" s="174">
        <v>0</v>
      </c>
      <c r="X50" s="174">
        <f t="shared" si="20"/>
        <v>2274.94</v>
      </c>
      <c r="Y50" s="175">
        <v>0</v>
      </c>
      <c r="Z50" s="174">
        <f t="shared" si="21"/>
        <v>2274.94</v>
      </c>
    </row>
    <row r="51" spans="1:26" ht="12.75" hidden="1" outlineLevel="1">
      <c r="A51" s="174" t="s">
        <v>3340</v>
      </c>
      <c r="C51" s="175" t="s">
        <v>3341</v>
      </c>
      <c r="D51" s="175" t="s">
        <v>3342</v>
      </c>
      <c r="E51" s="174">
        <v>0</v>
      </c>
      <c r="F51" s="174">
        <v>0</v>
      </c>
      <c r="G51" s="175">
        <f t="shared" si="15"/>
        <v>0</v>
      </c>
      <c r="H51" s="174">
        <v>372</v>
      </c>
      <c r="I51" s="174">
        <v>0</v>
      </c>
      <c r="J51" s="174">
        <v>0</v>
      </c>
      <c r="K51" s="174">
        <v>0</v>
      </c>
      <c r="L51" s="174">
        <f t="shared" si="16"/>
        <v>0</v>
      </c>
      <c r="M51" s="174">
        <v>0</v>
      </c>
      <c r="N51" s="174">
        <v>0</v>
      </c>
      <c r="O51" s="174">
        <v>0</v>
      </c>
      <c r="P51" s="174">
        <f t="shared" si="17"/>
        <v>0</v>
      </c>
      <c r="Q51" s="175">
        <v>0</v>
      </c>
      <c r="R51" s="175">
        <v>0</v>
      </c>
      <c r="S51" s="175">
        <v>0</v>
      </c>
      <c r="T51" s="175">
        <v>0</v>
      </c>
      <c r="U51" s="175">
        <f t="shared" si="18"/>
        <v>0</v>
      </c>
      <c r="V51" s="175">
        <f t="shared" si="19"/>
        <v>372</v>
      </c>
      <c r="W51" s="174">
        <v>0</v>
      </c>
      <c r="X51" s="174">
        <f t="shared" si="20"/>
        <v>372</v>
      </c>
      <c r="Y51" s="175">
        <v>0</v>
      </c>
      <c r="Z51" s="174">
        <f t="shared" si="21"/>
        <v>372</v>
      </c>
    </row>
    <row r="52" spans="1:26" ht="12.75" hidden="1" outlineLevel="1">
      <c r="A52" s="174" t="s">
        <v>3343</v>
      </c>
      <c r="C52" s="175" t="s">
        <v>3344</v>
      </c>
      <c r="D52" s="175" t="s">
        <v>3345</v>
      </c>
      <c r="E52" s="174">
        <v>0</v>
      </c>
      <c r="F52" s="174">
        <v>0</v>
      </c>
      <c r="G52" s="175">
        <f t="shared" si="15"/>
        <v>0</v>
      </c>
      <c r="H52" s="174">
        <v>99060.2</v>
      </c>
      <c r="I52" s="174">
        <v>0</v>
      </c>
      <c r="J52" s="174">
        <v>0</v>
      </c>
      <c r="K52" s="174">
        <v>-5027.65</v>
      </c>
      <c r="L52" s="174">
        <f t="shared" si="16"/>
        <v>-5027.65</v>
      </c>
      <c r="M52" s="174">
        <v>0</v>
      </c>
      <c r="N52" s="174">
        <v>0</v>
      </c>
      <c r="O52" s="174">
        <v>0</v>
      </c>
      <c r="P52" s="174">
        <f t="shared" si="17"/>
        <v>0</v>
      </c>
      <c r="Q52" s="175">
        <v>0</v>
      </c>
      <c r="R52" s="175">
        <v>0</v>
      </c>
      <c r="S52" s="175">
        <v>0</v>
      </c>
      <c r="T52" s="175">
        <v>0</v>
      </c>
      <c r="U52" s="175">
        <f t="shared" si="18"/>
        <v>0</v>
      </c>
      <c r="V52" s="175">
        <f t="shared" si="19"/>
        <v>94032.55</v>
      </c>
      <c r="W52" s="174">
        <v>0</v>
      </c>
      <c r="X52" s="174">
        <f t="shared" si="20"/>
        <v>94032.55</v>
      </c>
      <c r="Y52" s="175">
        <v>14828707.39</v>
      </c>
      <c r="Z52" s="174">
        <f t="shared" si="21"/>
        <v>14922739.940000001</v>
      </c>
    </row>
    <row r="53" spans="1:26" ht="12.75" hidden="1" outlineLevel="1">
      <c r="A53" s="174" t="s">
        <v>3346</v>
      </c>
      <c r="C53" s="175" t="s">
        <v>3347</v>
      </c>
      <c r="D53" s="175" t="s">
        <v>3348</v>
      </c>
      <c r="E53" s="174">
        <v>0</v>
      </c>
      <c r="F53" s="174">
        <v>0</v>
      </c>
      <c r="G53" s="175">
        <f t="shared" si="15"/>
        <v>0</v>
      </c>
      <c r="H53" s="174">
        <v>6820.42</v>
      </c>
      <c r="I53" s="174">
        <v>0</v>
      </c>
      <c r="J53" s="174">
        <v>0</v>
      </c>
      <c r="K53" s="174">
        <v>0</v>
      </c>
      <c r="L53" s="174">
        <f t="shared" si="16"/>
        <v>0</v>
      </c>
      <c r="M53" s="174">
        <v>0</v>
      </c>
      <c r="N53" s="174">
        <v>0</v>
      </c>
      <c r="O53" s="174">
        <v>0</v>
      </c>
      <c r="P53" s="174">
        <f t="shared" si="17"/>
        <v>0</v>
      </c>
      <c r="Q53" s="175">
        <v>0</v>
      </c>
      <c r="R53" s="175">
        <v>0</v>
      </c>
      <c r="S53" s="175">
        <v>0</v>
      </c>
      <c r="T53" s="175">
        <v>0</v>
      </c>
      <c r="U53" s="175">
        <f t="shared" si="18"/>
        <v>0</v>
      </c>
      <c r="V53" s="175">
        <f t="shared" si="19"/>
        <v>6820.42</v>
      </c>
      <c r="W53" s="174">
        <v>0</v>
      </c>
      <c r="X53" s="174">
        <f t="shared" si="20"/>
        <v>6820.42</v>
      </c>
      <c r="Y53" s="175">
        <v>0</v>
      </c>
      <c r="Z53" s="174">
        <f t="shared" si="21"/>
        <v>6820.42</v>
      </c>
    </row>
    <row r="54" spans="1:26" ht="12.75" hidden="1" outlineLevel="1">
      <c r="A54" s="174" t="s">
        <v>3349</v>
      </c>
      <c r="C54" s="175" t="s">
        <v>3350</v>
      </c>
      <c r="D54" s="175" t="s">
        <v>3351</v>
      </c>
      <c r="E54" s="174">
        <v>0</v>
      </c>
      <c r="F54" s="174">
        <v>0</v>
      </c>
      <c r="G54" s="175">
        <f t="shared" si="15"/>
        <v>0</v>
      </c>
      <c r="H54" s="174">
        <v>3696.21</v>
      </c>
      <c r="I54" s="174">
        <v>0</v>
      </c>
      <c r="J54" s="174">
        <v>0</v>
      </c>
      <c r="K54" s="174">
        <v>0</v>
      </c>
      <c r="L54" s="174">
        <f t="shared" si="16"/>
        <v>0</v>
      </c>
      <c r="M54" s="174">
        <v>0</v>
      </c>
      <c r="N54" s="174">
        <v>0</v>
      </c>
      <c r="O54" s="174">
        <v>0</v>
      </c>
      <c r="P54" s="174">
        <f t="shared" si="17"/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f t="shared" si="18"/>
        <v>0</v>
      </c>
      <c r="V54" s="175">
        <f t="shared" si="19"/>
        <v>3696.21</v>
      </c>
      <c r="W54" s="174">
        <v>0</v>
      </c>
      <c r="X54" s="174">
        <f t="shared" si="20"/>
        <v>3696.21</v>
      </c>
      <c r="Y54" s="175">
        <v>0</v>
      </c>
      <c r="Z54" s="174">
        <f t="shared" si="21"/>
        <v>3696.21</v>
      </c>
    </row>
    <row r="55" spans="1:26" ht="12.75" hidden="1" outlineLevel="1">
      <c r="A55" s="174" t="s">
        <v>3352</v>
      </c>
      <c r="C55" s="175" t="s">
        <v>3353</v>
      </c>
      <c r="D55" s="175" t="s">
        <v>3354</v>
      </c>
      <c r="E55" s="174">
        <v>0</v>
      </c>
      <c r="F55" s="174">
        <v>0</v>
      </c>
      <c r="G55" s="175">
        <f t="shared" si="15"/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f t="shared" si="16"/>
        <v>0</v>
      </c>
      <c r="M55" s="174">
        <v>0</v>
      </c>
      <c r="N55" s="174">
        <v>0</v>
      </c>
      <c r="O55" s="174">
        <v>0</v>
      </c>
      <c r="P55" s="174">
        <f t="shared" si="17"/>
        <v>0</v>
      </c>
      <c r="Q55" s="175">
        <v>0</v>
      </c>
      <c r="R55" s="175">
        <v>0</v>
      </c>
      <c r="S55" s="175">
        <v>0</v>
      </c>
      <c r="T55" s="175">
        <v>0</v>
      </c>
      <c r="U55" s="175">
        <f t="shared" si="18"/>
        <v>0</v>
      </c>
      <c r="V55" s="175">
        <f t="shared" si="19"/>
        <v>0</v>
      </c>
      <c r="W55" s="174">
        <v>0</v>
      </c>
      <c r="X55" s="174">
        <f t="shared" si="20"/>
        <v>0</v>
      </c>
      <c r="Y55" s="175">
        <v>322880</v>
      </c>
      <c r="Z55" s="174">
        <f t="shared" si="21"/>
        <v>322880</v>
      </c>
    </row>
    <row r="56" spans="1:27" ht="12.75" collapsed="1">
      <c r="A56" s="212" t="s">
        <v>3355</v>
      </c>
      <c r="B56" s="213"/>
      <c r="C56" s="212" t="s">
        <v>2836</v>
      </c>
      <c r="D56" s="214"/>
      <c r="E56" s="193">
        <v>0</v>
      </c>
      <c r="F56" s="193">
        <v>2006265.03</v>
      </c>
      <c r="G56" s="116">
        <f t="shared" si="15"/>
        <v>2006265.03</v>
      </c>
      <c r="H56" s="116">
        <v>140960.27</v>
      </c>
      <c r="I56" s="116">
        <v>0</v>
      </c>
      <c r="J56" s="116">
        <v>0</v>
      </c>
      <c r="K56" s="116">
        <v>-5027.65</v>
      </c>
      <c r="L56" s="116">
        <f t="shared" si="16"/>
        <v>-5027.65</v>
      </c>
      <c r="M56" s="116">
        <v>0</v>
      </c>
      <c r="N56" s="116">
        <v>0</v>
      </c>
      <c r="O56" s="116">
        <v>0</v>
      </c>
      <c r="P56" s="116">
        <f t="shared" si="17"/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f t="shared" si="18"/>
        <v>0</v>
      </c>
      <c r="V56" s="116">
        <f t="shared" si="19"/>
        <v>2142197.65</v>
      </c>
      <c r="W56" s="116">
        <v>0</v>
      </c>
      <c r="X56" s="116">
        <f t="shared" si="20"/>
        <v>2142197.65</v>
      </c>
      <c r="Y56" s="116">
        <v>15156567.39</v>
      </c>
      <c r="Z56" s="116">
        <f t="shared" si="21"/>
        <v>17298765.04</v>
      </c>
      <c r="AA56" s="212"/>
    </row>
    <row r="57" spans="1:26" ht="12.75" hidden="1" outlineLevel="1">
      <c r="A57" s="174" t="s">
        <v>3356</v>
      </c>
      <c r="C57" s="175" t="s">
        <v>3357</v>
      </c>
      <c r="D57" s="175" t="s">
        <v>3358</v>
      </c>
      <c r="E57" s="174">
        <v>0</v>
      </c>
      <c r="F57" s="174">
        <v>0</v>
      </c>
      <c r="G57" s="175">
        <f t="shared" si="15"/>
        <v>0</v>
      </c>
      <c r="H57" s="174">
        <v>-5599555.300000001</v>
      </c>
      <c r="I57" s="174">
        <v>0</v>
      </c>
      <c r="J57" s="174">
        <v>0</v>
      </c>
      <c r="K57" s="174">
        <v>0</v>
      </c>
      <c r="L57" s="174">
        <f t="shared" si="16"/>
        <v>0</v>
      </c>
      <c r="M57" s="174">
        <v>0</v>
      </c>
      <c r="N57" s="174">
        <v>0</v>
      </c>
      <c r="O57" s="174">
        <v>0</v>
      </c>
      <c r="P57" s="174">
        <f t="shared" si="17"/>
        <v>0</v>
      </c>
      <c r="Q57" s="175">
        <v>0</v>
      </c>
      <c r="R57" s="175">
        <v>0</v>
      </c>
      <c r="S57" s="175">
        <v>0</v>
      </c>
      <c r="T57" s="175">
        <v>0</v>
      </c>
      <c r="U57" s="175">
        <f t="shared" si="18"/>
        <v>0</v>
      </c>
      <c r="V57" s="175">
        <f t="shared" si="19"/>
        <v>-5599555.300000001</v>
      </c>
      <c r="W57" s="174">
        <v>0</v>
      </c>
      <c r="X57" s="174">
        <f t="shared" si="20"/>
        <v>-5599555.300000001</v>
      </c>
      <c r="Y57" s="175">
        <v>0</v>
      </c>
      <c r="Z57" s="174">
        <f t="shared" si="21"/>
        <v>-5599555.300000001</v>
      </c>
    </row>
    <row r="58" spans="1:27" ht="12.75" collapsed="1">
      <c r="A58" s="175" t="s">
        <v>3359</v>
      </c>
      <c r="B58" s="213"/>
      <c r="C58" s="212" t="s">
        <v>3360</v>
      </c>
      <c r="D58" s="214"/>
      <c r="E58" s="193">
        <v>0</v>
      </c>
      <c r="F58" s="193">
        <v>5651383.39</v>
      </c>
      <c r="G58" s="116">
        <f t="shared" si="15"/>
        <v>5651383.39</v>
      </c>
      <c r="H58" s="116">
        <v>-5599555.300000001</v>
      </c>
      <c r="I58" s="116">
        <v>0</v>
      </c>
      <c r="J58" s="116">
        <v>0</v>
      </c>
      <c r="K58" s="116">
        <v>0</v>
      </c>
      <c r="L58" s="116">
        <f t="shared" si="16"/>
        <v>0</v>
      </c>
      <c r="M58" s="116">
        <v>0</v>
      </c>
      <c r="N58" s="116">
        <v>0</v>
      </c>
      <c r="O58" s="116">
        <v>0</v>
      </c>
      <c r="P58" s="116">
        <f t="shared" si="17"/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f t="shared" si="18"/>
        <v>0</v>
      </c>
      <c r="V58" s="116">
        <f t="shared" si="19"/>
        <v>51828.08999999892</v>
      </c>
      <c r="W58" s="116">
        <v>0</v>
      </c>
      <c r="X58" s="116">
        <f t="shared" si="20"/>
        <v>51828.08999999892</v>
      </c>
      <c r="Y58" s="116">
        <v>0</v>
      </c>
      <c r="Z58" s="116">
        <f t="shared" si="21"/>
        <v>51828.08999999892</v>
      </c>
      <c r="AA58" s="175"/>
    </row>
    <row r="59" spans="1:28" ht="15.75">
      <c r="A59" s="219"/>
      <c r="B59" s="217"/>
      <c r="C59" s="211" t="s">
        <v>3361</v>
      </c>
      <c r="D59" s="65"/>
      <c r="E59" s="155">
        <f aca="true" t="shared" si="22" ref="E59:T59">+E19+E21+E22+E23+E29+E31+E32+E33+E34+E35+E48+E56+E58</f>
        <v>0</v>
      </c>
      <c r="F59" s="155">
        <f t="shared" si="22"/>
        <v>59798179.180000015</v>
      </c>
      <c r="G59" s="117">
        <f t="shared" si="22"/>
        <v>59798179.180000015</v>
      </c>
      <c r="H59" s="117">
        <f t="shared" si="22"/>
        <v>24555229.189999998</v>
      </c>
      <c r="I59" s="117">
        <f t="shared" si="22"/>
        <v>-2460.18</v>
      </c>
      <c r="J59" s="117">
        <f t="shared" si="22"/>
        <v>0</v>
      </c>
      <c r="K59" s="117">
        <f t="shared" si="22"/>
        <v>-542606.67</v>
      </c>
      <c r="L59" s="117">
        <f t="shared" si="22"/>
        <v>-545066.8500000001</v>
      </c>
      <c r="M59" s="117">
        <f t="shared" si="22"/>
        <v>0</v>
      </c>
      <c r="N59" s="117">
        <f t="shared" si="22"/>
        <v>0</v>
      </c>
      <c r="O59" s="117">
        <f t="shared" si="22"/>
        <v>0</v>
      </c>
      <c r="P59" s="117">
        <f t="shared" si="22"/>
        <v>0</v>
      </c>
      <c r="Q59" s="117">
        <f t="shared" si="22"/>
        <v>0</v>
      </c>
      <c r="R59" s="117">
        <f t="shared" si="22"/>
        <v>0</v>
      </c>
      <c r="S59" s="117">
        <f t="shared" si="22"/>
        <v>0</v>
      </c>
      <c r="T59" s="117">
        <f t="shared" si="22"/>
        <v>0</v>
      </c>
      <c r="U59" s="117">
        <f>+U19+U29+U31+U32+U33+U34+U35+U48+U56+U58</f>
        <v>0</v>
      </c>
      <c r="V59" s="117">
        <f>+V19+V21+V22+V23+V29+V31+V32+V33+V34+V35+V48+V56+V58</f>
        <v>83808341.52</v>
      </c>
      <c r="W59" s="117">
        <f>+W19+W21+W22+W23+W29+W31+W32+W33+W34+W35+W48+W56+W58</f>
        <v>0</v>
      </c>
      <c r="X59" s="117">
        <f>+X19+X21+X22+X23+X29+X31+X32+X33+X34+X35+X48+X56+X58</f>
        <v>83808341.52</v>
      </c>
      <c r="Y59" s="117">
        <f>+Y19+Y21+Y22+Y23+Y29+Y31+Y32+Y33+Y34+Y35+Y48+Y56+Y58</f>
        <v>10500201.24</v>
      </c>
      <c r="Z59" s="117">
        <f>+Z19+Z21+Z22+Z23+Z29+Z31+Z32+Z33+Z34+Z35+Z48+Z56+Z58</f>
        <v>94308542.76000002</v>
      </c>
      <c r="AA59" s="220"/>
      <c r="AB59" s="221"/>
    </row>
    <row r="60" spans="2:26" ht="12.75">
      <c r="B60" s="213"/>
      <c r="C60" s="212"/>
      <c r="D60" s="214"/>
      <c r="E60" s="193"/>
      <c r="F60" s="193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7" ht="15">
      <c r="A61" s="210"/>
      <c r="B61" s="217" t="s">
        <v>2837</v>
      </c>
      <c r="C61" s="218"/>
      <c r="D61" s="74"/>
      <c r="E61" s="193"/>
      <c r="F61" s="193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210"/>
    </row>
    <row r="62" spans="1:26" ht="12.75" hidden="1" outlineLevel="1">
      <c r="A62" s="174" t="s">
        <v>3362</v>
      </c>
      <c r="C62" s="175" t="s">
        <v>3363</v>
      </c>
      <c r="D62" s="175" t="s">
        <v>3364</v>
      </c>
      <c r="E62" s="174">
        <v>0</v>
      </c>
      <c r="F62" s="174">
        <v>22121269.54</v>
      </c>
      <c r="G62" s="175">
        <f aca="true" t="shared" si="23" ref="G62:G125">E62+F62</f>
        <v>22121269.54</v>
      </c>
      <c r="H62" s="174">
        <v>3578535.65</v>
      </c>
      <c r="I62" s="174">
        <v>0</v>
      </c>
      <c r="J62" s="174">
        <v>0</v>
      </c>
      <c r="K62" s="174">
        <v>0</v>
      </c>
      <c r="L62" s="174">
        <f aca="true" t="shared" si="24" ref="L62:L125">J62+I62+K62</f>
        <v>0</v>
      </c>
      <c r="M62" s="174">
        <v>0</v>
      </c>
      <c r="N62" s="174">
        <v>0</v>
      </c>
      <c r="O62" s="174">
        <v>0</v>
      </c>
      <c r="P62" s="174">
        <f aca="true" t="shared" si="25" ref="P62:P125">M62+N62+O62</f>
        <v>0</v>
      </c>
      <c r="Q62" s="175">
        <v>0</v>
      </c>
      <c r="R62" s="175">
        <v>0</v>
      </c>
      <c r="S62" s="175">
        <v>0</v>
      </c>
      <c r="T62" s="175">
        <v>0</v>
      </c>
      <c r="U62" s="175">
        <f aca="true" t="shared" si="26" ref="U62:U125">Q62+R62+S62+T62</f>
        <v>0</v>
      </c>
      <c r="V62" s="175">
        <f aca="true" t="shared" si="27" ref="V62:V125">G62+H62+L62+P62+U62</f>
        <v>25699805.189999998</v>
      </c>
      <c r="W62" s="174">
        <v>0</v>
      </c>
      <c r="X62" s="174">
        <f aca="true" t="shared" si="28" ref="X62:X125">V62+W62</f>
        <v>25699805.189999998</v>
      </c>
      <c r="Y62" s="175">
        <v>0</v>
      </c>
      <c r="Z62" s="174">
        <f aca="true" t="shared" si="29" ref="Z62:Z125">X62+Y62</f>
        <v>25699805.189999998</v>
      </c>
    </row>
    <row r="63" spans="1:26" ht="12.75" hidden="1" outlineLevel="1">
      <c r="A63" s="174" t="s">
        <v>3365</v>
      </c>
      <c r="C63" s="175" t="s">
        <v>3366</v>
      </c>
      <c r="D63" s="175" t="s">
        <v>3367</v>
      </c>
      <c r="E63" s="174">
        <v>0</v>
      </c>
      <c r="F63" s="174">
        <v>659232.64</v>
      </c>
      <c r="G63" s="175">
        <f t="shared" si="23"/>
        <v>659232.64</v>
      </c>
      <c r="H63" s="174">
        <v>1541163.81</v>
      </c>
      <c r="I63" s="174">
        <v>0</v>
      </c>
      <c r="J63" s="174">
        <v>0</v>
      </c>
      <c r="K63" s="174">
        <v>0</v>
      </c>
      <c r="L63" s="174">
        <f t="shared" si="24"/>
        <v>0</v>
      </c>
      <c r="M63" s="174">
        <v>0</v>
      </c>
      <c r="N63" s="174">
        <v>0</v>
      </c>
      <c r="O63" s="174">
        <v>0</v>
      </c>
      <c r="P63" s="174">
        <f t="shared" si="25"/>
        <v>0</v>
      </c>
      <c r="Q63" s="175">
        <v>0</v>
      </c>
      <c r="R63" s="175">
        <v>0</v>
      </c>
      <c r="S63" s="175">
        <v>0</v>
      </c>
      <c r="T63" s="175">
        <v>0</v>
      </c>
      <c r="U63" s="175">
        <f t="shared" si="26"/>
        <v>0</v>
      </c>
      <c r="V63" s="175">
        <f t="shared" si="27"/>
        <v>2200396.45</v>
      </c>
      <c r="W63" s="174">
        <v>0</v>
      </c>
      <c r="X63" s="174">
        <f t="shared" si="28"/>
        <v>2200396.45</v>
      </c>
      <c r="Y63" s="175">
        <v>0</v>
      </c>
      <c r="Z63" s="174">
        <f t="shared" si="29"/>
        <v>2200396.45</v>
      </c>
    </row>
    <row r="64" spans="1:26" ht="12.75" hidden="1" outlineLevel="1">
      <c r="A64" s="174" t="s">
        <v>3368</v>
      </c>
      <c r="C64" s="175" t="s">
        <v>3369</v>
      </c>
      <c r="D64" s="175" t="s">
        <v>3370</v>
      </c>
      <c r="E64" s="174">
        <v>0</v>
      </c>
      <c r="F64" s="174">
        <v>3875596.79</v>
      </c>
      <c r="G64" s="175">
        <f t="shared" si="23"/>
        <v>3875596.79</v>
      </c>
      <c r="H64" s="174">
        <v>1479073.88</v>
      </c>
      <c r="I64" s="174">
        <v>0</v>
      </c>
      <c r="J64" s="174">
        <v>0</v>
      </c>
      <c r="K64" s="174">
        <v>0</v>
      </c>
      <c r="L64" s="174">
        <f t="shared" si="24"/>
        <v>0</v>
      </c>
      <c r="M64" s="174">
        <v>0</v>
      </c>
      <c r="N64" s="174">
        <v>0</v>
      </c>
      <c r="O64" s="174">
        <v>0</v>
      </c>
      <c r="P64" s="174">
        <f t="shared" si="25"/>
        <v>0</v>
      </c>
      <c r="Q64" s="175">
        <v>0</v>
      </c>
      <c r="R64" s="175">
        <v>0</v>
      </c>
      <c r="S64" s="175">
        <v>0</v>
      </c>
      <c r="T64" s="175">
        <v>0</v>
      </c>
      <c r="U64" s="175">
        <f t="shared" si="26"/>
        <v>0</v>
      </c>
      <c r="V64" s="175">
        <f t="shared" si="27"/>
        <v>5354670.67</v>
      </c>
      <c r="W64" s="174">
        <v>0</v>
      </c>
      <c r="X64" s="174">
        <f t="shared" si="28"/>
        <v>5354670.67</v>
      </c>
      <c r="Y64" s="175">
        <v>0</v>
      </c>
      <c r="Z64" s="174">
        <f t="shared" si="29"/>
        <v>5354670.67</v>
      </c>
    </row>
    <row r="65" spans="1:26" ht="12.75" hidden="1" outlineLevel="1">
      <c r="A65" s="174" t="s">
        <v>3371</v>
      </c>
      <c r="C65" s="175" t="s">
        <v>3372</v>
      </c>
      <c r="D65" s="175" t="s">
        <v>3373</v>
      </c>
      <c r="E65" s="174">
        <v>0</v>
      </c>
      <c r="F65" s="174">
        <v>4214096.38</v>
      </c>
      <c r="G65" s="175">
        <f t="shared" si="23"/>
        <v>4214096.38</v>
      </c>
      <c r="H65" s="174">
        <v>4850693.54</v>
      </c>
      <c r="I65" s="174">
        <v>0</v>
      </c>
      <c r="J65" s="174">
        <v>0</v>
      </c>
      <c r="K65" s="174">
        <v>0</v>
      </c>
      <c r="L65" s="174">
        <f t="shared" si="24"/>
        <v>0</v>
      </c>
      <c r="M65" s="174">
        <v>0</v>
      </c>
      <c r="N65" s="174">
        <v>0</v>
      </c>
      <c r="O65" s="174">
        <v>0</v>
      </c>
      <c r="P65" s="174">
        <f t="shared" si="25"/>
        <v>0</v>
      </c>
      <c r="Q65" s="175">
        <v>0</v>
      </c>
      <c r="R65" s="175">
        <v>0</v>
      </c>
      <c r="S65" s="175">
        <v>0</v>
      </c>
      <c r="T65" s="175">
        <v>0</v>
      </c>
      <c r="U65" s="175">
        <f t="shared" si="26"/>
        <v>0</v>
      </c>
      <c r="V65" s="175">
        <f t="shared" si="27"/>
        <v>9064789.92</v>
      </c>
      <c r="W65" s="174">
        <v>0</v>
      </c>
      <c r="X65" s="174">
        <f t="shared" si="28"/>
        <v>9064789.92</v>
      </c>
      <c r="Y65" s="175">
        <v>0</v>
      </c>
      <c r="Z65" s="174">
        <f t="shared" si="29"/>
        <v>9064789.92</v>
      </c>
    </row>
    <row r="66" spans="1:26" ht="12.75" hidden="1" outlineLevel="1">
      <c r="A66" s="174" t="s">
        <v>3374</v>
      </c>
      <c r="C66" s="175" t="s">
        <v>3375</v>
      </c>
      <c r="D66" s="175" t="s">
        <v>3376</v>
      </c>
      <c r="E66" s="174">
        <v>0</v>
      </c>
      <c r="F66" s="174">
        <v>9021843.712000001</v>
      </c>
      <c r="G66" s="175">
        <f t="shared" si="23"/>
        <v>9021843.712000001</v>
      </c>
      <c r="H66" s="174">
        <v>749334.08</v>
      </c>
      <c r="I66" s="174">
        <v>0</v>
      </c>
      <c r="J66" s="174">
        <v>0</v>
      </c>
      <c r="K66" s="174">
        <v>0</v>
      </c>
      <c r="L66" s="174">
        <f t="shared" si="24"/>
        <v>0</v>
      </c>
      <c r="M66" s="174">
        <v>0</v>
      </c>
      <c r="N66" s="174">
        <v>0</v>
      </c>
      <c r="O66" s="174">
        <v>0</v>
      </c>
      <c r="P66" s="174">
        <f t="shared" si="25"/>
        <v>0</v>
      </c>
      <c r="Q66" s="175">
        <v>0</v>
      </c>
      <c r="R66" s="175">
        <v>0</v>
      </c>
      <c r="S66" s="175">
        <v>0</v>
      </c>
      <c r="T66" s="175">
        <v>0</v>
      </c>
      <c r="U66" s="175">
        <f t="shared" si="26"/>
        <v>0</v>
      </c>
      <c r="V66" s="175">
        <f t="shared" si="27"/>
        <v>9771177.792000001</v>
      </c>
      <c r="W66" s="174">
        <v>0</v>
      </c>
      <c r="X66" s="174">
        <f t="shared" si="28"/>
        <v>9771177.792000001</v>
      </c>
      <c r="Y66" s="175">
        <v>0</v>
      </c>
      <c r="Z66" s="174">
        <f t="shared" si="29"/>
        <v>9771177.792000001</v>
      </c>
    </row>
    <row r="67" spans="1:26" ht="12.75" hidden="1" outlineLevel="1">
      <c r="A67" s="174" t="s">
        <v>3377</v>
      </c>
      <c r="C67" s="175" t="s">
        <v>3378</v>
      </c>
      <c r="D67" s="175" t="s">
        <v>3379</v>
      </c>
      <c r="E67" s="174">
        <v>0</v>
      </c>
      <c r="F67" s="174">
        <v>4837641.638</v>
      </c>
      <c r="G67" s="175">
        <f t="shared" si="23"/>
        <v>4837641.638</v>
      </c>
      <c r="H67" s="174">
        <v>1204009.841</v>
      </c>
      <c r="I67" s="174">
        <v>0</v>
      </c>
      <c r="J67" s="174">
        <v>0</v>
      </c>
      <c r="K67" s="174">
        <v>0</v>
      </c>
      <c r="L67" s="174">
        <f t="shared" si="24"/>
        <v>0</v>
      </c>
      <c r="M67" s="174">
        <v>0</v>
      </c>
      <c r="N67" s="174">
        <v>0</v>
      </c>
      <c r="O67" s="174">
        <v>0</v>
      </c>
      <c r="P67" s="174">
        <f t="shared" si="25"/>
        <v>0</v>
      </c>
      <c r="Q67" s="175">
        <v>0</v>
      </c>
      <c r="R67" s="175">
        <v>0</v>
      </c>
      <c r="S67" s="175">
        <v>0</v>
      </c>
      <c r="T67" s="175">
        <v>0</v>
      </c>
      <c r="U67" s="175">
        <f t="shared" si="26"/>
        <v>0</v>
      </c>
      <c r="V67" s="175">
        <f t="shared" si="27"/>
        <v>6041651.479</v>
      </c>
      <c r="W67" s="174">
        <v>0</v>
      </c>
      <c r="X67" s="174">
        <f t="shared" si="28"/>
        <v>6041651.479</v>
      </c>
      <c r="Y67" s="175">
        <v>0</v>
      </c>
      <c r="Z67" s="174">
        <f t="shared" si="29"/>
        <v>6041651.479</v>
      </c>
    </row>
    <row r="68" spans="1:26" ht="12.75" hidden="1" outlineLevel="1">
      <c r="A68" s="174" t="s">
        <v>3380</v>
      </c>
      <c r="C68" s="175" t="s">
        <v>3381</v>
      </c>
      <c r="D68" s="175" t="s">
        <v>3382</v>
      </c>
      <c r="E68" s="174">
        <v>0</v>
      </c>
      <c r="F68" s="174">
        <v>2468607.9420000003</v>
      </c>
      <c r="G68" s="175">
        <f t="shared" si="23"/>
        <v>2468607.9420000003</v>
      </c>
      <c r="H68" s="174">
        <v>197121.45700000002</v>
      </c>
      <c r="I68" s="174">
        <v>0</v>
      </c>
      <c r="J68" s="174">
        <v>0</v>
      </c>
      <c r="K68" s="174">
        <v>0</v>
      </c>
      <c r="L68" s="174">
        <f t="shared" si="24"/>
        <v>0</v>
      </c>
      <c r="M68" s="174">
        <v>0</v>
      </c>
      <c r="N68" s="174">
        <v>0</v>
      </c>
      <c r="O68" s="174">
        <v>0</v>
      </c>
      <c r="P68" s="174">
        <f t="shared" si="25"/>
        <v>0</v>
      </c>
      <c r="Q68" s="175">
        <v>0</v>
      </c>
      <c r="R68" s="175">
        <v>0</v>
      </c>
      <c r="S68" s="175">
        <v>0</v>
      </c>
      <c r="T68" s="175">
        <v>0</v>
      </c>
      <c r="U68" s="175">
        <f t="shared" si="26"/>
        <v>0</v>
      </c>
      <c r="V68" s="175">
        <f t="shared" si="27"/>
        <v>2665729.399</v>
      </c>
      <c r="W68" s="174">
        <v>0</v>
      </c>
      <c r="X68" s="174">
        <f t="shared" si="28"/>
        <v>2665729.399</v>
      </c>
      <c r="Y68" s="175">
        <v>0</v>
      </c>
      <c r="Z68" s="174">
        <f t="shared" si="29"/>
        <v>2665729.399</v>
      </c>
    </row>
    <row r="69" spans="1:26" ht="12.75" hidden="1" outlineLevel="1">
      <c r="A69" s="174" t="s">
        <v>3383</v>
      </c>
      <c r="C69" s="175" t="s">
        <v>3384</v>
      </c>
      <c r="D69" s="175" t="s">
        <v>3385</v>
      </c>
      <c r="E69" s="174">
        <v>0</v>
      </c>
      <c r="F69" s="174">
        <v>5747177.453999999</v>
      </c>
      <c r="G69" s="175">
        <f t="shared" si="23"/>
        <v>5747177.453999999</v>
      </c>
      <c r="H69" s="174">
        <v>338063.702</v>
      </c>
      <c r="I69" s="174">
        <v>0</v>
      </c>
      <c r="J69" s="174">
        <v>0</v>
      </c>
      <c r="K69" s="174">
        <v>0</v>
      </c>
      <c r="L69" s="174">
        <f t="shared" si="24"/>
        <v>0</v>
      </c>
      <c r="M69" s="174">
        <v>0</v>
      </c>
      <c r="N69" s="174">
        <v>0</v>
      </c>
      <c r="O69" s="174">
        <v>0</v>
      </c>
      <c r="P69" s="174">
        <f t="shared" si="25"/>
        <v>0</v>
      </c>
      <c r="Q69" s="175">
        <v>0</v>
      </c>
      <c r="R69" s="175">
        <v>0</v>
      </c>
      <c r="S69" s="175">
        <v>0</v>
      </c>
      <c r="T69" s="175">
        <v>0</v>
      </c>
      <c r="U69" s="175">
        <f t="shared" si="26"/>
        <v>0</v>
      </c>
      <c r="V69" s="175">
        <f t="shared" si="27"/>
        <v>6085241.155999999</v>
      </c>
      <c r="W69" s="174">
        <v>0</v>
      </c>
      <c r="X69" s="174">
        <f t="shared" si="28"/>
        <v>6085241.155999999</v>
      </c>
      <c r="Y69" s="175">
        <v>0</v>
      </c>
      <c r="Z69" s="174">
        <f t="shared" si="29"/>
        <v>6085241.155999999</v>
      </c>
    </row>
    <row r="70" spans="1:26" ht="12.75" hidden="1" outlineLevel="1">
      <c r="A70" s="174" t="s">
        <v>3386</v>
      </c>
      <c r="C70" s="175" t="s">
        <v>3387</v>
      </c>
      <c r="D70" s="175" t="s">
        <v>3388</v>
      </c>
      <c r="E70" s="174">
        <v>0</v>
      </c>
      <c r="F70" s="174">
        <v>2197427.503</v>
      </c>
      <c r="G70" s="175">
        <f t="shared" si="23"/>
        <v>2197427.503</v>
      </c>
      <c r="H70" s="174">
        <v>24921.018</v>
      </c>
      <c r="I70" s="174">
        <v>0</v>
      </c>
      <c r="J70" s="174">
        <v>0</v>
      </c>
      <c r="K70" s="174">
        <v>0</v>
      </c>
      <c r="L70" s="174">
        <f t="shared" si="24"/>
        <v>0</v>
      </c>
      <c r="M70" s="174">
        <v>0</v>
      </c>
      <c r="N70" s="174">
        <v>0</v>
      </c>
      <c r="O70" s="174">
        <v>0</v>
      </c>
      <c r="P70" s="174">
        <f t="shared" si="25"/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f t="shared" si="26"/>
        <v>0</v>
      </c>
      <c r="V70" s="175">
        <f t="shared" si="27"/>
        <v>2222348.521</v>
      </c>
      <c r="W70" s="174">
        <v>0</v>
      </c>
      <c r="X70" s="174">
        <f t="shared" si="28"/>
        <v>2222348.521</v>
      </c>
      <c r="Y70" s="175">
        <v>0</v>
      </c>
      <c r="Z70" s="174">
        <f t="shared" si="29"/>
        <v>2222348.521</v>
      </c>
    </row>
    <row r="71" spans="1:26" ht="12.75" hidden="1" outlineLevel="1">
      <c r="A71" s="174" t="s">
        <v>3389</v>
      </c>
      <c r="C71" s="175" t="s">
        <v>3390</v>
      </c>
      <c r="D71" s="175" t="s">
        <v>3391</v>
      </c>
      <c r="E71" s="174">
        <v>0</v>
      </c>
      <c r="F71" s="174">
        <v>2578696.874</v>
      </c>
      <c r="G71" s="175">
        <f t="shared" si="23"/>
        <v>2578696.874</v>
      </c>
      <c r="H71" s="174">
        <v>4199.3</v>
      </c>
      <c r="I71" s="174">
        <v>0</v>
      </c>
      <c r="J71" s="174">
        <v>0</v>
      </c>
      <c r="K71" s="174">
        <v>0</v>
      </c>
      <c r="L71" s="174">
        <f t="shared" si="24"/>
        <v>0</v>
      </c>
      <c r="M71" s="174">
        <v>0</v>
      </c>
      <c r="N71" s="174">
        <v>0</v>
      </c>
      <c r="O71" s="174">
        <v>0</v>
      </c>
      <c r="P71" s="174">
        <f t="shared" si="25"/>
        <v>0</v>
      </c>
      <c r="Q71" s="175">
        <v>0</v>
      </c>
      <c r="R71" s="175">
        <v>0</v>
      </c>
      <c r="S71" s="175">
        <v>0</v>
      </c>
      <c r="T71" s="175">
        <v>0</v>
      </c>
      <c r="U71" s="175">
        <f t="shared" si="26"/>
        <v>0</v>
      </c>
      <c r="V71" s="175">
        <f t="shared" si="27"/>
        <v>2582896.1739999996</v>
      </c>
      <c r="W71" s="174">
        <v>0</v>
      </c>
      <c r="X71" s="174">
        <f t="shared" si="28"/>
        <v>2582896.1739999996</v>
      </c>
      <c r="Y71" s="175">
        <v>0</v>
      </c>
      <c r="Z71" s="174">
        <f t="shared" si="29"/>
        <v>2582896.1739999996</v>
      </c>
    </row>
    <row r="72" spans="1:26" ht="12.75" hidden="1" outlineLevel="1">
      <c r="A72" s="174" t="s">
        <v>3392</v>
      </c>
      <c r="C72" s="175" t="s">
        <v>3393</v>
      </c>
      <c r="D72" s="175" t="s">
        <v>3394</v>
      </c>
      <c r="E72" s="174">
        <v>0</v>
      </c>
      <c r="F72" s="174">
        <v>1198082.2589999998</v>
      </c>
      <c r="G72" s="175">
        <f t="shared" si="23"/>
        <v>1198082.2589999998</v>
      </c>
      <c r="H72" s="174">
        <v>779733.635</v>
      </c>
      <c r="I72" s="174">
        <v>0</v>
      </c>
      <c r="J72" s="174">
        <v>0</v>
      </c>
      <c r="K72" s="174">
        <v>0</v>
      </c>
      <c r="L72" s="174">
        <f t="shared" si="24"/>
        <v>0</v>
      </c>
      <c r="M72" s="174">
        <v>0</v>
      </c>
      <c r="N72" s="174">
        <v>0</v>
      </c>
      <c r="O72" s="174">
        <v>0</v>
      </c>
      <c r="P72" s="174">
        <f t="shared" si="25"/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f t="shared" si="26"/>
        <v>0</v>
      </c>
      <c r="V72" s="175">
        <f t="shared" si="27"/>
        <v>1977815.8939999999</v>
      </c>
      <c r="W72" s="174">
        <v>0</v>
      </c>
      <c r="X72" s="174">
        <f t="shared" si="28"/>
        <v>1977815.8939999999</v>
      </c>
      <c r="Y72" s="175">
        <v>0</v>
      </c>
      <c r="Z72" s="174">
        <f t="shared" si="29"/>
        <v>1977815.8939999999</v>
      </c>
    </row>
    <row r="73" spans="1:26" ht="12.75" hidden="1" outlineLevel="1">
      <c r="A73" s="174" t="s">
        <v>3395</v>
      </c>
      <c r="C73" s="175" t="s">
        <v>3396</v>
      </c>
      <c r="D73" s="175" t="s">
        <v>3397</v>
      </c>
      <c r="E73" s="174">
        <v>0.002</v>
      </c>
      <c r="F73" s="174">
        <v>30378.739</v>
      </c>
      <c r="G73" s="175">
        <f t="shared" si="23"/>
        <v>30378.741</v>
      </c>
      <c r="H73" s="174">
        <v>33250</v>
      </c>
      <c r="I73" s="174">
        <v>0</v>
      </c>
      <c r="J73" s="174">
        <v>0</v>
      </c>
      <c r="K73" s="174">
        <v>0</v>
      </c>
      <c r="L73" s="174">
        <f t="shared" si="24"/>
        <v>0</v>
      </c>
      <c r="M73" s="174">
        <v>0</v>
      </c>
      <c r="N73" s="174">
        <v>0</v>
      </c>
      <c r="O73" s="174">
        <v>0</v>
      </c>
      <c r="P73" s="174">
        <f t="shared" si="25"/>
        <v>0</v>
      </c>
      <c r="Q73" s="175">
        <v>0</v>
      </c>
      <c r="R73" s="175">
        <v>0</v>
      </c>
      <c r="S73" s="175">
        <v>0</v>
      </c>
      <c r="T73" s="175">
        <v>0</v>
      </c>
      <c r="U73" s="175">
        <f t="shared" si="26"/>
        <v>0</v>
      </c>
      <c r="V73" s="175">
        <f t="shared" si="27"/>
        <v>63628.741</v>
      </c>
      <c r="W73" s="174">
        <v>0</v>
      </c>
      <c r="X73" s="174">
        <f t="shared" si="28"/>
        <v>63628.741</v>
      </c>
      <c r="Y73" s="175">
        <v>0</v>
      </c>
      <c r="Z73" s="174">
        <f t="shared" si="29"/>
        <v>63628.741</v>
      </c>
    </row>
    <row r="74" spans="1:26" ht="12.75" hidden="1" outlineLevel="1">
      <c r="A74" s="174" t="s">
        <v>3398</v>
      </c>
      <c r="C74" s="175" t="s">
        <v>3399</v>
      </c>
      <c r="D74" s="175" t="s">
        <v>3400</v>
      </c>
      <c r="E74" s="174">
        <v>-3676.73</v>
      </c>
      <c r="F74" s="174">
        <v>93246.56</v>
      </c>
      <c r="G74" s="175">
        <f t="shared" si="23"/>
        <v>89569.83</v>
      </c>
      <c r="H74" s="174">
        <v>25175.92</v>
      </c>
      <c r="I74" s="174">
        <v>0</v>
      </c>
      <c r="J74" s="174">
        <v>0</v>
      </c>
      <c r="K74" s="174">
        <v>0</v>
      </c>
      <c r="L74" s="174">
        <f t="shared" si="24"/>
        <v>0</v>
      </c>
      <c r="M74" s="174">
        <v>0</v>
      </c>
      <c r="N74" s="174">
        <v>0</v>
      </c>
      <c r="O74" s="174">
        <v>0</v>
      </c>
      <c r="P74" s="174">
        <f t="shared" si="25"/>
        <v>0</v>
      </c>
      <c r="Q74" s="175">
        <v>0</v>
      </c>
      <c r="R74" s="175">
        <v>0</v>
      </c>
      <c r="S74" s="175">
        <v>0</v>
      </c>
      <c r="T74" s="175">
        <v>0</v>
      </c>
      <c r="U74" s="175">
        <f t="shared" si="26"/>
        <v>0</v>
      </c>
      <c r="V74" s="175">
        <f t="shared" si="27"/>
        <v>114745.75</v>
      </c>
      <c r="W74" s="174">
        <v>0</v>
      </c>
      <c r="X74" s="174">
        <f t="shared" si="28"/>
        <v>114745.75</v>
      </c>
      <c r="Y74" s="175">
        <v>0</v>
      </c>
      <c r="Z74" s="174">
        <f t="shared" si="29"/>
        <v>114745.75</v>
      </c>
    </row>
    <row r="75" spans="1:27" ht="12.75" collapsed="1">
      <c r="A75" s="212" t="s">
        <v>3401</v>
      </c>
      <c r="B75" s="213"/>
      <c r="C75" s="212" t="s">
        <v>2786</v>
      </c>
      <c r="D75" s="214"/>
      <c r="E75" s="193">
        <v>-3676.728</v>
      </c>
      <c r="F75" s="193">
        <v>59043298.030999996</v>
      </c>
      <c r="G75" s="116">
        <f t="shared" si="23"/>
        <v>59039621.302999996</v>
      </c>
      <c r="H75" s="116">
        <v>14805275.833</v>
      </c>
      <c r="I75" s="116">
        <v>0</v>
      </c>
      <c r="J75" s="116">
        <v>0</v>
      </c>
      <c r="K75" s="116">
        <v>0</v>
      </c>
      <c r="L75" s="116">
        <f t="shared" si="24"/>
        <v>0</v>
      </c>
      <c r="M75" s="116">
        <v>0</v>
      </c>
      <c r="N75" s="116">
        <v>0</v>
      </c>
      <c r="O75" s="116">
        <v>0</v>
      </c>
      <c r="P75" s="116">
        <f t="shared" si="25"/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f t="shared" si="26"/>
        <v>0</v>
      </c>
      <c r="V75" s="116">
        <f t="shared" si="27"/>
        <v>73844897.13599999</v>
      </c>
      <c r="W75" s="116">
        <v>0</v>
      </c>
      <c r="X75" s="116">
        <f t="shared" si="28"/>
        <v>73844897.13599999</v>
      </c>
      <c r="Y75" s="116">
        <v>0</v>
      </c>
      <c r="Z75" s="116">
        <f t="shared" si="29"/>
        <v>73844897.13599999</v>
      </c>
      <c r="AA75" s="212"/>
    </row>
    <row r="76" spans="1:26" ht="12.75" hidden="1" outlineLevel="1">
      <c r="A76" s="174" t="s">
        <v>3402</v>
      </c>
      <c r="C76" s="175" t="s">
        <v>3403</v>
      </c>
      <c r="D76" s="175" t="s">
        <v>3404</v>
      </c>
      <c r="E76" s="174">
        <v>0</v>
      </c>
      <c r="F76" s="174">
        <v>6230193.48</v>
      </c>
      <c r="G76" s="175">
        <f t="shared" si="23"/>
        <v>6230193.48</v>
      </c>
      <c r="H76" s="174">
        <v>960491.68</v>
      </c>
      <c r="I76" s="174">
        <v>0</v>
      </c>
      <c r="J76" s="174">
        <v>0</v>
      </c>
      <c r="K76" s="174">
        <v>0</v>
      </c>
      <c r="L76" s="174">
        <f t="shared" si="24"/>
        <v>0</v>
      </c>
      <c r="M76" s="174">
        <v>0</v>
      </c>
      <c r="N76" s="174">
        <v>0</v>
      </c>
      <c r="O76" s="174">
        <v>0</v>
      </c>
      <c r="P76" s="174">
        <f t="shared" si="25"/>
        <v>0</v>
      </c>
      <c r="Q76" s="175">
        <v>0</v>
      </c>
      <c r="R76" s="175">
        <v>0</v>
      </c>
      <c r="S76" s="175">
        <v>0</v>
      </c>
      <c r="T76" s="175">
        <v>0</v>
      </c>
      <c r="U76" s="175">
        <f t="shared" si="26"/>
        <v>0</v>
      </c>
      <c r="V76" s="175">
        <f t="shared" si="27"/>
        <v>7190685.16</v>
      </c>
      <c r="W76" s="174">
        <v>0</v>
      </c>
      <c r="X76" s="174">
        <f t="shared" si="28"/>
        <v>7190685.16</v>
      </c>
      <c r="Y76" s="175">
        <v>0</v>
      </c>
      <c r="Z76" s="174">
        <f t="shared" si="29"/>
        <v>7190685.16</v>
      </c>
    </row>
    <row r="77" spans="1:26" ht="12.75" hidden="1" outlineLevel="1">
      <c r="A77" s="174" t="s">
        <v>3405</v>
      </c>
      <c r="C77" s="175" t="s">
        <v>3406</v>
      </c>
      <c r="D77" s="175" t="s">
        <v>3407</v>
      </c>
      <c r="E77" s="174">
        <v>0</v>
      </c>
      <c r="F77" s="174">
        <v>86867.63</v>
      </c>
      <c r="G77" s="175">
        <f t="shared" si="23"/>
        <v>86867.63</v>
      </c>
      <c r="H77" s="174">
        <v>271980.88</v>
      </c>
      <c r="I77" s="174">
        <v>0</v>
      </c>
      <c r="J77" s="174">
        <v>0</v>
      </c>
      <c r="K77" s="174">
        <v>0</v>
      </c>
      <c r="L77" s="174">
        <f t="shared" si="24"/>
        <v>0</v>
      </c>
      <c r="M77" s="174">
        <v>0</v>
      </c>
      <c r="N77" s="174">
        <v>0</v>
      </c>
      <c r="O77" s="174">
        <v>0</v>
      </c>
      <c r="P77" s="174">
        <f t="shared" si="25"/>
        <v>0</v>
      </c>
      <c r="Q77" s="175">
        <v>0</v>
      </c>
      <c r="R77" s="175">
        <v>0</v>
      </c>
      <c r="S77" s="175">
        <v>0</v>
      </c>
      <c r="T77" s="175">
        <v>0</v>
      </c>
      <c r="U77" s="175">
        <f t="shared" si="26"/>
        <v>0</v>
      </c>
      <c r="V77" s="175">
        <f t="shared" si="27"/>
        <v>358848.51</v>
      </c>
      <c r="W77" s="174">
        <v>0</v>
      </c>
      <c r="X77" s="174">
        <f t="shared" si="28"/>
        <v>358848.51</v>
      </c>
      <c r="Y77" s="175">
        <v>0</v>
      </c>
      <c r="Z77" s="174">
        <f t="shared" si="29"/>
        <v>358848.51</v>
      </c>
    </row>
    <row r="78" spans="1:26" ht="12.75" hidden="1" outlineLevel="1">
      <c r="A78" s="174" t="s">
        <v>3408</v>
      </c>
      <c r="C78" s="175" t="s">
        <v>3409</v>
      </c>
      <c r="D78" s="175" t="s">
        <v>3410</v>
      </c>
      <c r="E78" s="174">
        <v>0</v>
      </c>
      <c r="F78" s="174">
        <v>923135.92</v>
      </c>
      <c r="G78" s="175">
        <f t="shared" si="23"/>
        <v>923135.92</v>
      </c>
      <c r="H78" s="174">
        <v>357245.122</v>
      </c>
      <c r="I78" s="174">
        <v>0</v>
      </c>
      <c r="J78" s="174">
        <v>0</v>
      </c>
      <c r="K78" s="174">
        <v>0</v>
      </c>
      <c r="L78" s="174">
        <f t="shared" si="24"/>
        <v>0</v>
      </c>
      <c r="M78" s="174">
        <v>0</v>
      </c>
      <c r="N78" s="174">
        <v>0</v>
      </c>
      <c r="O78" s="174">
        <v>0</v>
      </c>
      <c r="P78" s="174">
        <f t="shared" si="25"/>
        <v>0</v>
      </c>
      <c r="Q78" s="175">
        <v>0</v>
      </c>
      <c r="R78" s="175">
        <v>0</v>
      </c>
      <c r="S78" s="175">
        <v>0</v>
      </c>
      <c r="T78" s="175">
        <v>0</v>
      </c>
      <c r="U78" s="175">
        <f t="shared" si="26"/>
        <v>0</v>
      </c>
      <c r="V78" s="175">
        <f t="shared" si="27"/>
        <v>1280381.042</v>
      </c>
      <c r="W78" s="174">
        <v>0</v>
      </c>
      <c r="X78" s="174">
        <f t="shared" si="28"/>
        <v>1280381.042</v>
      </c>
      <c r="Y78" s="175">
        <v>0</v>
      </c>
      <c r="Z78" s="174">
        <f t="shared" si="29"/>
        <v>1280381.042</v>
      </c>
    </row>
    <row r="79" spans="1:26" ht="12.75" hidden="1" outlineLevel="1">
      <c r="A79" s="174" t="s">
        <v>3411</v>
      </c>
      <c r="C79" s="175" t="s">
        <v>3412</v>
      </c>
      <c r="D79" s="175" t="s">
        <v>3413</v>
      </c>
      <c r="E79" s="174">
        <v>0</v>
      </c>
      <c r="F79" s="174">
        <v>2324.13</v>
      </c>
      <c r="G79" s="175">
        <f t="shared" si="23"/>
        <v>2324.13</v>
      </c>
      <c r="H79" s="174">
        <v>1712.79</v>
      </c>
      <c r="I79" s="174">
        <v>0</v>
      </c>
      <c r="J79" s="174">
        <v>0</v>
      </c>
      <c r="K79" s="174">
        <v>0</v>
      </c>
      <c r="L79" s="174">
        <f t="shared" si="24"/>
        <v>0</v>
      </c>
      <c r="M79" s="174">
        <v>0</v>
      </c>
      <c r="N79" s="174">
        <v>0</v>
      </c>
      <c r="O79" s="174">
        <v>0</v>
      </c>
      <c r="P79" s="174">
        <f t="shared" si="25"/>
        <v>0</v>
      </c>
      <c r="Q79" s="175">
        <v>0</v>
      </c>
      <c r="R79" s="175">
        <v>0</v>
      </c>
      <c r="S79" s="175">
        <v>0</v>
      </c>
      <c r="T79" s="175">
        <v>0</v>
      </c>
      <c r="U79" s="175">
        <f t="shared" si="26"/>
        <v>0</v>
      </c>
      <c r="V79" s="175">
        <f t="shared" si="27"/>
        <v>4036.92</v>
      </c>
      <c r="W79" s="174">
        <v>0</v>
      </c>
      <c r="X79" s="174">
        <f t="shared" si="28"/>
        <v>4036.92</v>
      </c>
      <c r="Y79" s="175">
        <v>0</v>
      </c>
      <c r="Z79" s="174">
        <f t="shared" si="29"/>
        <v>4036.92</v>
      </c>
    </row>
    <row r="80" spans="1:26" ht="12.75" hidden="1" outlineLevel="1">
      <c r="A80" s="174" t="s">
        <v>3414</v>
      </c>
      <c r="C80" s="175" t="s">
        <v>3415</v>
      </c>
      <c r="D80" s="175" t="s">
        <v>3416</v>
      </c>
      <c r="E80" s="174">
        <v>0</v>
      </c>
      <c r="F80" s="174">
        <v>2547647.5749999997</v>
      </c>
      <c r="G80" s="175">
        <f t="shared" si="23"/>
        <v>2547647.5749999997</v>
      </c>
      <c r="H80" s="174">
        <v>208223.28</v>
      </c>
      <c r="I80" s="174">
        <v>0</v>
      </c>
      <c r="J80" s="174">
        <v>0</v>
      </c>
      <c r="K80" s="174">
        <v>0</v>
      </c>
      <c r="L80" s="174">
        <f t="shared" si="24"/>
        <v>0</v>
      </c>
      <c r="M80" s="174">
        <v>0</v>
      </c>
      <c r="N80" s="174">
        <v>0</v>
      </c>
      <c r="O80" s="174">
        <v>0</v>
      </c>
      <c r="P80" s="174">
        <f t="shared" si="25"/>
        <v>0</v>
      </c>
      <c r="Q80" s="175">
        <v>0</v>
      </c>
      <c r="R80" s="175">
        <v>0</v>
      </c>
      <c r="S80" s="175">
        <v>0</v>
      </c>
      <c r="T80" s="175">
        <v>0</v>
      </c>
      <c r="U80" s="175">
        <f t="shared" si="26"/>
        <v>0</v>
      </c>
      <c r="V80" s="175">
        <f t="shared" si="27"/>
        <v>2755870.8549999995</v>
      </c>
      <c r="W80" s="174">
        <v>0</v>
      </c>
      <c r="X80" s="174">
        <f t="shared" si="28"/>
        <v>2755870.8549999995</v>
      </c>
      <c r="Y80" s="175">
        <v>0</v>
      </c>
      <c r="Z80" s="174">
        <f t="shared" si="29"/>
        <v>2755870.8549999995</v>
      </c>
    </row>
    <row r="81" spans="1:26" ht="12.75" hidden="1" outlineLevel="1">
      <c r="A81" s="174" t="s">
        <v>3417</v>
      </c>
      <c r="C81" s="175" t="s">
        <v>3418</v>
      </c>
      <c r="D81" s="175" t="s">
        <v>3419</v>
      </c>
      <c r="E81" s="174">
        <v>0</v>
      </c>
      <c r="F81" s="174">
        <v>1324084.0620000002</v>
      </c>
      <c r="G81" s="175">
        <f t="shared" si="23"/>
        <v>1324084.0620000002</v>
      </c>
      <c r="H81" s="174">
        <v>313835.84900000005</v>
      </c>
      <c r="I81" s="174">
        <v>0</v>
      </c>
      <c r="J81" s="174">
        <v>0</v>
      </c>
      <c r="K81" s="174">
        <v>0</v>
      </c>
      <c r="L81" s="174">
        <f t="shared" si="24"/>
        <v>0</v>
      </c>
      <c r="M81" s="174">
        <v>0</v>
      </c>
      <c r="N81" s="174">
        <v>0</v>
      </c>
      <c r="O81" s="174">
        <v>0</v>
      </c>
      <c r="P81" s="174">
        <f t="shared" si="25"/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f t="shared" si="26"/>
        <v>0</v>
      </c>
      <c r="V81" s="175">
        <f t="shared" si="27"/>
        <v>1637919.9110000003</v>
      </c>
      <c r="W81" s="174">
        <v>0</v>
      </c>
      <c r="X81" s="174">
        <f t="shared" si="28"/>
        <v>1637919.9110000003</v>
      </c>
      <c r="Y81" s="175">
        <v>0</v>
      </c>
      <c r="Z81" s="174">
        <f t="shared" si="29"/>
        <v>1637919.9110000003</v>
      </c>
    </row>
    <row r="82" spans="1:26" ht="12.75" hidden="1" outlineLevel="1">
      <c r="A82" s="174" t="s">
        <v>3420</v>
      </c>
      <c r="C82" s="175" t="s">
        <v>3421</v>
      </c>
      <c r="D82" s="175" t="s">
        <v>3422</v>
      </c>
      <c r="E82" s="174">
        <v>0</v>
      </c>
      <c r="F82" s="174">
        <v>678013.736</v>
      </c>
      <c r="G82" s="175">
        <f t="shared" si="23"/>
        <v>678013.736</v>
      </c>
      <c r="H82" s="174">
        <v>40386.037</v>
      </c>
      <c r="I82" s="174">
        <v>0</v>
      </c>
      <c r="J82" s="174">
        <v>0</v>
      </c>
      <c r="K82" s="174">
        <v>0</v>
      </c>
      <c r="L82" s="174">
        <f t="shared" si="24"/>
        <v>0</v>
      </c>
      <c r="M82" s="174">
        <v>0</v>
      </c>
      <c r="N82" s="174">
        <v>0</v>
      </c>
      <c r="O82" s="174">
        <v>0</v>
      </c>
      <c r="P82" s="174">
        <f t="shared" si="25"/>
        <v>0</v>
      </c>
      <c r="Q82" s="175">
        <v>0</v>
      </c>
      <c r="R82" s="175">
        <v>0</v>
      </c>
      <c r="S82" s="175">
        <v>0</v>
      </c>
      <c r="T82" s="175">
        <v>0</v>
      </c>
      <c r="U82" s="175">
        <f t="shared" si="26"/>
        <v>0</v>
      </c>
      <c r="V82" s="175">
        <f t="shared" si="27"/>
        <v>718399.773</v>
      </c>
      <c r="W82" s="174">
        <v>0</v>
      </c>
      <c r="X82" s="174">
        <f t="shared" si="28"/>
        <v>718399.773</v>
      </c>
      <c r="Y82" s="175">
        <v>0</v>
      </c>
      <c r="Z82" s="174">
        <f t="shared" si="29"/>
        <v>718399.773</v>
      </c>
    </row>
    <row r="83" spans="1:26" ht="12.75" hidden="1" outlineLevel="1">
      <c r="A83" s="174" t="s">
        <v>3423</v>
      </c>
      <c r="C83" s="175" t="s">
        <v>3424</v>
      </c>
      <c r="D83" s="175" t="s">
        <v>3425</v>
      </c>
      <c r="E83" s="174">
        <v>0</v>
      </c>
      <c r="F83" s="174">
        <v>1604789.514</v>
      </c>
      <c r="G83" s="175">
        <f t="shared" si="23"/>
        <v>1604789.514</v>
      </c>
      <c r="H83" s="174">
        <v>85050.52200000001</v>
      </c>
      <c r="I83" s="174">
        <v>0</v>
      </c>
      <c r="J83" s="174">
        <v>0</v>
      </c>
      <c r="K83" s="174">
        <v>0</v>
      </c>
      <c r="L83" s="174">
        <f t="shared" si="24"/>
        <v>0</v>
      </c>
      <c r="M83" s="174">
        <v>0</v>
      </c>
      <c r="N83" s="174">
        <v>0</v>
      </c>
      <c r="O83" s="174">
        <v>0</v>
      </c>
      <c r="P83" s="174">
        <f t="shared" si="25"/>
        <v>0</v>
      </c>
      <c r="Q83" s="175">
        <v>0</v>
      </c>
      <c r="R83" s="175">
        <v>0</v>
      </c>
      <c r="S83" s="175">
        <v>0</v>
      </c>
      <c r="T83" s="175">
        <v>0</v>
      </c>
      <c r="U83" s="175">
        <f t="shared" si="26"/>
        <v>0</v>
      </c>
      <c r="V83" s="175">
        <f t="shared" si="27"/>
        <v>1689840.036</v>
      </c>
      <c r="W83" s="174">
        <v>0</v>
      </c>
      <c r="X83" s="174">
        <f t="shared" si="28"/>
        <v>1689840.036</v>
      </c>
      <c r="Y83" s="175">
        <v>0</v>
      </c>
      <c r="Z83" s="174">
        <f t="shared" si="29"/>
        <v>1689840.036</v>
      </c>
    </row>
    <row r="84" spans="1:26" ht="12.75" hidden="1" outlineLevel="1">
      <c r="A84" s="174" t="s">
        <v>3426</v>
      </c>
      <c r="C84" s="175" t="s">
        <v>3427</v>
      </c>
      <c r="D84" s="175" t="s">
        <v>3428</v>
      </c>
      <c r="E84" s="174">
        <v>0</v>
      </c>
      <c r="F84" s="174">
        <v>609662.058</v>
      </c>
      <c r="G84" s="175">
        <f t="shared" si="23"/>
        <v>609662.058</v>
      </c>
      <c r="H84" s="174">
        <v>6761.081</v>
      </c>
      <c r="I84" s="174">
        <v>0</v>
      </c>
      <c r="J84" s="174">
        <v>0</v>
      </c>
      <c r="K84" s="174">
        <v>0</v>
      </c>
      <c r="L84" s="174">
        <f t="shared" si="24"/>
        <v>0</v>
      </c>
      <c r="M84" s="174">
        <v>0</v>
      </c>
      <c r="N84" s="174">
        <v>0</v>
      </c>
      <c r="O84" s="174">
        <v>0</v>
      </c>
      <c r="P84" s="174">
        <f t="shared" si="25"/>
        <v>0</v>
      </c>
      <c r="Q84" s="175">
        <v>0</v>
      </c>
      <c r="R84" s="175">
        <v>0</v>
      </c>
      <c r="S84" s="175">
        <v>0</v>
      </c>
      <c r="T84" s="175">
        <v>0</v>
      </c>
      <c r="U84" s="175">
        <f t="shared" si="26"/>
        <v>0</v>
      </c>
      <c r="V84" s="175">
        <f t="shared" si="27"/>
        <v>616423.139</v>
      </c>
      <c r="W84" s="174">
        <v>0</v>
      </c>
      <c r="X84" s="174">
        <f t="shared" si="28"/>
        <v>616423.139</v>
      </c>
      <c r="Y84" s="175">
        <v>0</v>
      </c>
      <c r="Z84" s="174">
        <f t="shared" si="29"/>
        <v>616423.139</v>
      </c>
    </row>
    <row r="85" spans="1:26" ht="12.75" hidden="1" outlineLevel="1">
      <c r="A85" s="174" t="s">
        <v>3429</v>
      </c>
      <c r="C85" s="175" t="s">
        <v>3430</v>
      </c>
      <c r="D85" s="175" t="s">
        <v>627</v>
      </c>
      <c r="E85" s="174">
        <v>0</v>
      </c>
      <c r="F85" s="174">
        <v>682853.1009999999</v>
      </c>
      <c r="G85" s="175">
        <f t="shared" si="23"/>
        <v>682853.1009999999</v>
      </c>
      <c r="H85" s="174">
        <v>299.21</v>
      </c>
      <c r="I85" s="174">
        <v>0</v>
      </c>
      <c r="J85" s="174">
        <v>0</v>
      </c>
      <c r="K85" s="174">
        <v>0</v>
      </c>
      <c r="L85" s="174">
        <f t="shared" si="24"/>
        <v>0</v>
      </c>
      <c r="M85" s="174">
        <v>0</v>
      </c>
      <c r="N85" s="174">
        <v>0</v>
      </c>
      <c r="O85" s="174">
        <v>0</v>
      </c>
      <c r="P85" s="174">
        <f t="shared" si="25"/>
        <v>0</v>
      </c>
      <c r="Q85" s="175">
        <v>0</v>
      </c>
      <c r="R85" s="175">
        <v>0</v>
      </c>
      <c r="S85" s="175">
        <v>0</v>
      </c>
      <c r="T85" s="175">
        <v>0</v>
      </c>
      <c r="U85" s="175">
        <f t="shared" si="26"/>
        <v>0</v>
      </c>
      <c r="V85" s="175">
        <f t="shared" si="27"/>
        <v>683152.3109999999</v>
      </c>
      <c r="W85" s="174">
        <v>0</v>
      </c>
      <c r="X85" s="174">
        <f t="shared" si="28"/>
        <v>683152.3109999999</v>
      </c>
      <c r="Y85" s="175">
        <v>0</v>
      </c>
      <c r="Z85" s="174">
        <f t="shared" si="29"/>
        <v>683152.3109999999</v>
      </c>
    </row>
    <row r="86" spans="1:26" ht="12.75" hidden="1" outlineLevel="1">
      <c r="A86" s="174" t="s">
        <v>628</v>
      </c>
      <c r="C86" s="175" t="s">
        <v>629</v>
      </c>
      <c r="D86" s="175" t="s">
        <v>630</v>
      </c>
      <c r="E86" s="174">
        <v>0</v>
      </c>
      <c r="F86" s="174">
        <v>9023.379</v>
      </c>
      <c r="G86" s="175">
        <f t="shared" si="23"/>
        <v>9023.379</v>
      </c>
      <c r="H86" s="174">
        <v>9791.635999999999</v>
      </c>
      <c r="I86" s="174">
        <v>0</v>
      </c>
      <c r="J86" s="174">
        <v>0</v>
      </c>
      <c r="K86" s="174">
        <v>0</v>
      </c>
      <c r="L86" s="174">
        <f t="shared" si="24"/>
        <v>0</v>
      </c>
      <c r="M86" s="174">
        <v>0</v>
      </c>
      <c r="N86" s="174">
        <v>0</v>
      </c>
      <c r="O86" s="174">
        <v>0</v>
      </c>
      <c r="P86" s="174">
        <f t="shared" si="25"/>
        <v>0</v>
      </c>
      <c r="Q86" s="175">
        <v>0</v>
      </c>
      <c r="R86" s="175">
        <v>0</v>
      </c>
      <c r="S86" s="175">
        <v>0</v>
      </c>
      <c r="T86" s="175">
        <v>0</v>
      </c>
      <c r="U86" s="175">
        <f t="shared" si="26"/>
        <v>0</v>
      </c>
      <c r="V86" s="175">
        <f t="shared" si="27"/>
        <v>18815.015</v>
      </c>
      <c r="W86" s="174">
        <v>0</v>
      </c>
      <c r="X86" s="174">
        <f t="shared" si="28"/>
        <v>18815.015</v>
      </c>
      <c r="Y86" s="175">
        <v>0</v>
      </c>
      <c r="Z86" s="174">
        <f t="shared" si="29"/>
        <v>18815.015</v>
      </c>
    </row>
    <row r="87" spans="1:26" ht="12.75" hidden="1" outlineLevel="1">
      <c r="A87" s="174" t="s">
        <v>631</v>
      </c>
      <c r="C87" s="175" t="s">
        <v>632</v>
      </c>
      <c r="D87" s="175" t="s">
        <v>633</v>
      </c>
      <c r="E87" s="174">
        <v>0</v>
      </c>
      <c r="F87" s="174">
        <v>27977.05</v>
      </c>
      <c r="G87" s="175">
        <f t="shared" si="23"/>
        <v>27977.05</v>
      </c>
      <c r="H87" s="174">
        <v>0</v>
      </c>
      <c r="I87" s="174">
        <v>0</v>
      </c>
      <c r="J87" s="174">
        <v>0</v>
      </c>
      <c r="K87" s="174">
        <v>0</v>
      </c>
      <c r="L87" s="174">
        <f t="shared" si="24"/>
        <v>0</v>
      </c>
      <c r="M87" s="174">
        <v>0</v>
      </c>
      <c r="N87" s="174">
        <v>0</v>
      </c>
      <c r="O87" s="174">
        <v>0</v>
      </c>
      <c r="P87" s="174">
        <f t="shared" si="25"/>
        <v>0</v>
      </c>
      <c r="Q87" s="175">
        <v>0</v>
      </c>
      <c r="R87" s="175">
        <v>0</v>
      </c>
      <c r="S87" s="175">
        <v>0</v>
      </c>
      <c r="T87" s="175">
        <v>0</v>
      </c>
      <c r="U87" s="175">
        <f t="shared" si="26"/>
        <v>0</v>
      </c>
      <c r="V87" s="175">
        <f t="shared" si="27"/>
        <v>27977.05</v>
      </c>
      <c r="W87" s="174">
        <v>0</v>
      </c>
      <c r="X87" s="174">
        <f t="shared" si="28"/>
        <v>27977.05</v>
      </c>
      <c r="Y87" s="175">
        <v>0</v>
      </c>
      <c r="Z87" s="174">
        <f t="shared" si="29"/>
        <v>27977.05</v>
      </c>
    </row>
    <row r="88" spans="1:26" ht="12.75" hidden="1" outlineLevel="1">
      <c r="A88" s="174" t="s">
        <v>634</v>
      </c>
      <c r="C88" s="175" t="s">
        <v>635</v>
      </c>
      <c r="D88" s="175" t="s">
        <v>636</v>
      </c>
      <c r="E88" s="174">
        <v>0</v>
      </c>
      <c r="F88" s="174">
        <v>39.68</v>
      </c>
      <c r="G88" s="175">
        <f t="shared" si="23"/>
        <v>39.68</v>
      </c>
      <c r="H88" s="174">
        <v>0</v>
      </c>
      <c r="I88" s="174">
        <v>0</v>
      </c>
      <c r="J88" s="174">
        <v>0</v>
      </c>
      <c r="K88" s="174">
        <v>0</v>
      </c>
      <c r="L88" s="174">
        <f t="shared" si="24"/>
        <v>0</v>
      </c>
      <c r="M88" s="174">
        <v>0</v>
      </c>
      <c r="N88" s="174">
        <v>0</v>
      </c>
      <c r="O88" s="174">
        <v>0</v>
      </c>
      <c r="P88" s="174">
        <f t="shared" si="25"/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f t="shared" si="26"/>
        <v>0</v>
      </c>
      <c r="V88" s="175">
        <f t="shared" si="27"/>
        <v>39.68</v>
      </c>
      <c r="W88" s="174">
        <v>0</v>
      </c>
      <c r="X88" s="174">
        <f t="shared" si="28"/>
        <v>39.68</v>
      </c>
      <c r="Y88" s="175">
        <v>0</v>
      </c>
      <c r="Z88" s="174">
        <f t="shared" si="29"/>
        <v>39.68</v>
      </c>
    </row>
    <row r="89" spans="1:26" ht="12.75" hidden="1" outlineLevel="1">
      <c r="A89" s="174" t="s">
        <v>637</v>
      </c>
      <c r="C89" s="175" t="s">
        <v>638</v>
      </c>
      <c r="D89" s="175" t="s">
        <v>639</v>
      </c>
      <c r="E89" s="174">
        <v>-609.6</v>
      </c>
      <c r="F89" s="174">
        <v>15460.21</v>
      </c>
      <c r="G89" s="175">
        <f t="shared" si="23"/>
        <v>14850.609999999999</v>
      </c>
      <c r="H89" s="174">
        <v>4174.2</v>
      </c>
      <c r="I89" s="174">
        <v>0</v>
      </c>
      <c r="J89" s="174">
        <v>0</v>
      </c>
      <c r="K89" s="174">
        <v>0</v>
      </c>
      <c r="L89" s="174">
        <f t="shared" si="24"/>
        <v>0</v>
      </c>
      <c r="M89" s="174">
        <v>0</v>
      </c>
      <c r="N89" s="174">
        <v>0</v>
      </c>
      <c r="O89" s="174">
        <v>0</v>
      </c>
      <c r="P89" s="174">
        <f t="shared" si="25"/>
        <v>0</v>
      </c>
      <c r="Q89" s="175">
        <v>0</v>
      </c>
      <c r="R89" s="175">
        <v>0</v>
      </c>
      <c r="S89" s="175">
        <v>0</v>
      </c>
      <c r="T89" s="175">
        <v>0</v>
      </c>
      <c r="U89" s="175">
        <f t="shared" si="26"/>
        <v>0</v>
      </c>
      <c r="V89" s="175">
        <f t="shared" si="27"/>
        <v>19024.809999999998</v>
      </c>
      <c r="W89" s="174">
        <v>0</v>
      </c>
      <c r="X89" s="174">
        <f t="shared" si="28"/>
        <v>19024.809999999998</v>
      </c>
      <c r="Y89" s="175">
        <v>0</v>
      </c>
      <c r="Z89" s="174">
        <f t="shared" si="29"/>
        <v>19024.809999999998</v>
      </c>
    </row>
    <row r="90" spans="1:26" ht="12.75" hidden="1" outlineLevel="1">
      <c r="A90" s="174" t="s">
        <v>640</v>
      </c>
      <c r="C90" s="175" t="s">
        <v>641</v>
      </c>
      <c r="D90" s="175" t="s">
        <v>642</v>
      </c>
      <c r="E90" s="174">
        <v>0.004</v>
      </c>
      <c r="F90" s="174">
        <v>1448.3</v>
      </c>
      <c r="G90" s="175">
        <f t="shared" si="23"/>
        <v>1448.3039999999999</v>
      </c>
      <c r="H90" s="174">
        <v>1724.89</v>
      </c>
      <c r="I90" s="174">
        <v>0</v>
      </c>
      <c r="J90" s="174">
        <v>0</v>
      </c>
      <c r="K90" s="174">
        <v>0</v>
      </c>
      <c r="L90" s="174">
        <f t="shared" si="24"/>
        <v>0</v>
      </c>
      <c r="M90" s="174">
        <v>0</v>
      </c>
      <c r="N90" s="174">
        <v>0</v>
      </c>
      <c r="O90" s="174">
        <v>0</v>
      </c>
      <c r="P90" s="174">
        <f t="shared" si="25"/>
        <v>0</v>
      </c>
      <c r="Q90" s="175">
        <v>0</v>
      </c>
      <c r="R90" s="175">
        <v>0</v>
      </c>
      <c r="S90" s="175">
        <v>0</v>
      </c>
      <c r="T90" s="175">
        <v>0</v>
      </c>
      <c r="U90" s="175">
        <f t="shared" si="26"/>
        <v>0</v>
      </c>
      <c r="V90" s="175">
        <f t="shared" si="27"/>
        <v>3173.194</v>
      </c>
      <c r="W90" s="174">
        <v>0</v>
      </c>
      <c r="X90" s="174">
        <f t="shared" si="28"/>
        <v>3173.194</v>
      </c>
      <c r="Y90" s="175">
        <v>0</v>
      </c>
      <c r="Z90" s="174">
        <f t="shared" si="29"/>
        <v>3173.194</v>
      </c>
    </row>
    <row r="91" spans="1:27" ht="12.75" collapsed="1">
      <c r="A91" s="212" t="s">
        <v>643</v>
      </c>
      <c r="B91" s="213"/>
      <c r="C91" s="212" t="s">
        <v>2838</v>
      </c>
      <c r="D91" s="214"/>
      <c r="E91" s="193">
        <v>-609.596</v>
      </c>
      <c r="F91" s="193">
        <v>14743519.825</v>
      </c>
      <c r="G91" s="116">
        <f t="shared" si="23"/>
        <v>14742910.228999998</v>
      </c>
      <c r="H91" s="116">
        <v>2261677.1769999997</v>
      </c>
      <c r="I91" s="116">
        <v>0</v>
      </c>
      <c r="J91" s="116">
        <v>0</v>
      </c>
      <c r="K91" s="116">
        <v>0</v>
      </c>
      <c r="L91" s="116">
        <f t="shared" si="24"/>
        <v>0</v>
      </c>
      <c r="M91" s="116">
        <v>0</v>
      </c>
      <c r="N91" s="116">
        <v>0</v>
      </c>
      <c r="O91" s="116">
        <v>0</v>
      </c>
      <c r="P91" s="116">
        <f t="shared" si="25"/>
        <v>0</v>
      </c>
      <c r="Q91" s="116">
        <v>0</v>
      </c>
      <c r="R91" s="116">
        <v>0</v>
      </c>
      <c r="S91" s="116">
        <v>0</v>
      </c>
      <c r="T91" s="116">
        <v>0</v>
      </c>
      <c r="U91" s="116">
        <f t="shared" si="26"/>
        <v>0</v>
      </c>
      <c r="V91" s="116">
        <f t="shared" si="27"/>
        <v>17004587.406</v>
      </c>
      <c r="W91" s="116">
        <v>0</v>
      </c>
      <c r="X91" s="116">
        <f t="shared" si="28"/>
        <v>17004587.406</v>
      </c>
      <c r="Y91" s="116">
        <v>0</v>
      </c>
      <c r="Z91" s="116">
        <f t="shared" si="29"/>
        <v>17004587.406</v>
      </c>
      <c r="AA91" s="212"/>
    </row>
    <row r="92" spans="1:26" ht="12.75" hidden="1" outlineLevel="1">
      <c r="A92" s="174" t="s">
        <v>644</v>
      </c>
      <c r="C92" s="175" t="s">
        <v>645</v>
      </c>
      <c r="D92" s="175" t="s">
        <v>646</v>
      </c>
      <c r="E92" s="174">
        <v>0</v>
      </c>
      <c r="F92" s="174">
        <v>-10467307.77</v>
      </c>
      <c r="G92" s="175">
        <f t="shared" si="23"/>
        <v>-10467307.77</v>
      </c>
      <c r="H92" s="174">
        <v>-26718.88</v>
      </c>
      <c r="I92" s="174">
        <v>0</v>
      </c>
      <c r="J92" s="174">
        <v>0</v>
      </c>
      <c r="K92" s="174">
        <v>0</v>
      </c>
      <c r="L92" s="174">
        <f t="shared" si="24"/>
        <v>0</v>
      </c>
      <c r="M92" s="174">
        <v>0</v>
      </c>
      <c r="N92" s="174">
        <v>0</v>
      </c>
      <c r="O92" s="174">
        <v>0</v>
      </c>
      <c r="P92" s="174">
        <f t="shared" si="25"/>
        <v>0</v>
      </c>
      <c r="Q92" s="175">
        <v>0</v>
      </c>
      <c r="R92" s="175">
        <v>0</v>
      </c>
      <c r="S92" s="175">
        <v>0</v>
      </c>
      <c r="T92" s="175">
        <v>0</v>
      </c>
      <c r="U92" s="175">
        <f t="shared" si="26"/>
        <v>0</v>
      </c>
      <c r="V92" s="175">
        <f t="shared" si="27"/>
        <v>-10494026.65</v>
      </c>
      <c r="W92" s="174">
        <v>0</v>
      </c>
      <c r="X92" s="174">
        <f t="shared" si="28"/>
        <v>-10494026.65</v>
      </c>
      <c r="Y92" s="175">
        <v>0</v>
      </c>
      <c r="Z92" s="174">
        <f t="shared" si="29"/>
        <v>-10494026.65</v>
      </c>
    </row>
    <row r="93" spans="1:26" ht="12.75" hidden="1" outlineLevel="1">
      <c r="A93" s="174" t="s">
        <v>647</v>
      </c>
      <c r="C93" s="175" t="s">
        <v>648</v>
      </c>
      <c r="D93" s="175" t="s">
        <v>649</v>
      </c>
      <c r="E93" s="174">
        <v>0</v>
      </c>
      <c r="F93" s="174">
        <v>-20735.25</v>
      </c>
      <c r="G93" s="175">
        <f t="shared" si="23"/>
        <v>-20735.25</v>
      </c>
      <c r="H93" s="174">
        <v>0</v>
      </c>
      <c r="I93" s="174">
        <v>0</v>
      </c>
      <c r="J93" s="174">
        <v>0</v>
      </c>
      <c r="K93" s="174">
        <v>0</v>
      </c>
      <c r="L93" s="174">
        <f t="shared" si="24"/>
        <v>0</v>
      </c>
      <c r="M93" s="174">
        <v>0</v>
      </c>
      <c r="N93" s="174">
        <v>0</v>
      </c>
      <c r="O93" s="174">
        <v>0</v>
      </c>
      <c r="P93" s="174">
        <f t="shared" si="25"/>
        <v>0</v>
      </c>
      <c r="Q93" s="175">
        <v>0</v>
      </c>
      <c r="R93" s="175">
        <v>0</v>
      </c>
      <c r="S93" s="175">
        <v>0</v>
      </c>
      <c r="T93" s="175">
        <v>0</v>
      </c>
      <c r="U93" s="175">
        <f t="shared" si="26"/>
        <v>0</v>
      </c>
      <c r="V93" s="175">
        <f t="shared" si="27"/>
        <v>-20735.25</v>
      </c>
      <c r="W93" s="174">
        <v>0</v>
      </c>
      <c r="X93" s="174">
        <f t="shared" si="28"/>
        <v>-20735.25</v>
      </c>
      <c r="Y93" s="175">
        <v>-519</v>
      </c>
      <c r="Z93" s="174">
        <f t="shared" si="29"/>
        <v>-21254.25</v>
      </c>
    </row>
    <row r="94" spans="1:26" ht="12.75" hidden="1" outlineLevel="1">
      <c r="A94" s="174" t="s">
        <v>650</v>
      </c>
      <c r="C94" s="175" t="s">
        <v>651</v>
      </c>
      <c r="D94" s="175" t="s">
        <v>652</v>
      </c>
      <c r="E94" s="174">
        <v>0</v>
      </c>
      <c r="F94" s="174">
        <v>2879536.91</v>
      </c>
      <c r="G94" s="175">
        <f t="shared" si="23"/>
        <v>2879536.91</v>
      </c>
      <c r="H94" s="174">
        <v>100</v>
      </c>
      <c r="I94" s="174">
        <v>0</v>
      </c>
      <c r="J94" s="174">
        <v>0</v>
      </c>
      <c r="K94" s="174">
        <v>0</v>
      </c>
      <c r="L94" s="174">
        <f t="shared" si="24"/>
        <v>0</v>
      </c>
      <c r="M94" s="174">
        <v>0</v>
      </c>
      <c r="N94" s="174">
        <v>0</v>
      </c>
      <c r="O94" s="174">
        <v>0</v>
      </c>
      <c r="P94" s="174">
        <f t="shared" si="25"/>
        <v>0</v>
      </c>
      <c r="Q94" s="175">
        <v>0</v>
      </c>
      <c r="R94" s="175">
        <v>0</v>
      </c>
      <c r="S94" s="175">
        <v>0</v>
      </c>
      <c r="T94" s="175">
        <v>0</v>
      </c>
      <c r="U94" s="175">
        <f t="shared" si="26"/>
        <v>0</v>
      </c>
      <c r="V94" s="175">
        <f t="shared" si="27"/>
        <v>2879636.91</v>
      </c>
      <c r="W94" s="174">
        <v>0</v>
      </c>
      <c r="X94" s="174">
        <f t="shared" si="28"/>
        <v>2879636.91</v>
      </c>
      <c r="Y94" s="175">
        <v>0</v>
      </c>
      <c r="Z94" s="174">
        <f t="shared" si="29"/>
        <v>2879636.91</v>
      </c>
    </row>
    <row r="95" spans="1:26" ht="12.75" hidden="1" outlineLevel="1">
      <c r="A95" s="174" t="s">
        <v>653</v>
      </c>
      <c r="C95" s="175" t="s">
        <v>654</v>
      </c>
      <c r="D95" s="175" t="s">
        <v>655</v>
      </c>
      <c r="E95" s="174">
        <v>0</v>
      </c>
      <c r="F95" s="174">
        <v>2350</v>
      </c>
      <c r="G95" s="175">
        <f t="shared" si="23"/>
        <v>2350</v>
      </c>
      <c r="H95" s="174">
        <v>0</v>
      </c>
      <c r="I95" s="174">
        <v>0</v>
      </c>
      <c r="J95" s="174">
        <v>0</v>
      </c>
      <c r="K95" s="174">
        <v>0</v>
      </c>
      <c r="L95" s="174">
        <f t="shared" si="24"/>
        <v>0</v>
      </c>
      <c r="M95" s="174">
        <v>0</v>
      </c>
      <c r="N95" s="174">
        <v>0</v>
      </c>
      <c r="O95" s="174">
        <v>0</v>
      </c>
      <c r="P95" s="174">
        <f t="shared" si="25"/>
        <v>0</v>
      </c>
      <c r="Q95" s="175">
        <v>0</v>
      </c>
      <c r="R95" s="175">
        <v>0</v>
      </c>
      <c r="S95" s="175">
        <v>0</v>
      </c>
      <c r="T95" s="175">
        <v>0</v>
      </c>
      <c r="U95" s="175">
        <f t="shared" si="26"/>
        <v>0</v>
      </c>
      <c r="V95" s="175">
        <f t="shared" si="27"/>
        <v>2350</v>
      </c>
      <c r="W95" s="174">
        <v>0</v>
      </c>
      <c r="X95" s="174">
        <f t="shared" si="28"/>
        <v>2350</v>
      </c>
      <c r="Y95" s="175">
        <v>0</v>
      </c>
      <c r="Z95" s="174">
        <f t="shared" si="29"/>
        <v>2350</v>
      </c>
    </row>
    <row r="96" spans="1:26" ht="12.75" hidden="1" outlineLevel="1">
      <c r="A96" s="174" t="s">
        <v>656</v>
      </c>
      <c r="C96" s="175" t="s">
        <v>657</v>
      </c>
      <c r="D96" s="175" t="s">
        <v>658</v>
      </c>
      <c r="E96" s="174">
        <v>0</v>
      </c>
      <c r="F96" s="174">
        <v>176990.38</v>
      </c>
      <c r="G96" s="175">
        <f t="shared" si="23"/>
        <v>176990.38</v>
      </c>
      <c r="H96" s="174">
        <v>0</v>
      </c>
      <c r="I96" s="174">
        <v>0</v>
      </c>
      <c r="J96" s="174">
        <v>0</v>
      </c>
      <c r="K96" s="174">
        <v>0</v>
      </c>
      <c r="L96" s="174">
        <f t="shared" si="24"/>
        <v>0</v>
      </c>
      <c r="M96" s="174">
        <v>0</v>
      </c>
      <c r="N96" s="174">
        <v>0</v>
      </c>
      <c r="O96" s="174">
        <v>0</v>
      </c>
      <c r="P96" s="174">
        <f t="shared" si="25"/>
        <v>0</v>
      </c>
      <c r="Q96" s="175">
        <v>0</v>
      </c>
      <c r="R96" s="175">
        <v>0</v>
      </c>
      <c r="S96" s="175">
        <v>0</v>
      </c>
      <c r="T96" s="175">
        <v>0</v>
      </c>
      <c r="U96" s="175">
        <f t="shared" si="26"/>
        <v>0</v>
      </c>
      <c r="V96" s="175">
        <f t="shared" si="27"/>
        <v>176990.38</v>
      </c>
      <c r="W96" s="174">
        <v>0</v>
      </c>
      <c r="X96" s="174">
        <f t="shared" si="28"/>
        <v>176990.38</v>
      </c>
      <c r="Y96" s="175">
        <v>0</v>
      </c>
      <c r="Z96" s="174">
        <f t="shared" si="29"/>
        <v>176990.38</v>
      </c>
    </row>
    <row r="97" spans="1:26" ht="12.75" hidden="1" outlineLevel="1">
      <c r="A97" s="174" t="s">
        <v>659</v>
      </c>
      <c r="C97" s="175" t="s">
        <v>660</v>
      </c>
      <c r="D97" s="175" t="s">
        <v>661</v>
      </c>
      <c r="E97" s="174">
        <v>0</v>
      </c>
      <c r="F97" s="174">
        <v>80503.39</v>
      </c>
      <c r="G97" s="175">
        <f t="shared" si="23"/>
        <v>80503.39</v>
      </c>
      <c r="H97" s="174">
        <v>0</v>
      </c>
      <c r="I97" s="174">
        <v>0</v>
      </c>
      <c r="J97" s="174">
        <v>0</v>
      </c>
      <c r="K97" s="174">
        <v>0</v>
      </c>
      <c r="L97" s="174">
        <f t="shared" si="24"/>
        <v>0</v>
      </c>
      <c r="M97" s="174">
        <v>0</v>
      </c>
      <c r="N97" s="174">
        <v>0</v>
      </c>
      <c r="O97" s="174">
        <v>0</v>
      </c>
      <c r="P97" s="174">
        <f t="shared" si="25"/>
        <v>0</v>
      </c>
      <c r="Q97" s="175">
        <v>0</v>
      </c>
      <c r="R97" s="175">
        <v>0</v>
      </c>
      <c r="S97" s="175">
        <v>0</v>
      </c>
      <c r="T97" s="175">
        <v>0</v>
      </c>
      <c r="U97" s="175">
        <f t="shared" si="26"/>
        <v>0</v>
      </c>
      <c r="V97" s="175">
        <f t="shared" si="27"/>
        <v>80503.39</v>
      </c>
      <c r="W97" s="174">
        <v>0</v>
      </c>
      <c r="X97" s="174">
        <f t="shared" si="28"/>
        <v>80503.39</v>
      </c>
      <c r="Y97" s="175">
        <v>0</v>
      </c>
      <c r="Z97" s="174">
        <f t="shared" si="29"/>
        <v>80503.39</v>
      </c>
    </row>
    <row r="98" spans="1:26" ht="12.75" hidden="1" outlineLevel="1">
      <c r="A98" s="174" t="s">
        <v>662</v>
      </c>
      <c r="C98" s="175" t="s">
        <v>663</v>
      </c>
      <c r="D98" s="175" t="s">
        <v>664</v>
      </c>
      <c r="E98" s="174">
        <v>0</v>
      </c>
      <c r="F98" s="174">
        <v>-1770</v>
      </c>
      <c r="G98" s="175">
        <f t="shared" si="23"/>
        <v>-1770</v>
      </c>
      <c r="H98" s="174">
        <v>0</v>
      </c>
      <c r="I98" s="174">
        <v>0</v>
      </c>
      <c r="J98" s="174">
        <v>0</v>
      </c>
      <c r="K98" s="174">
        <v>0</v>
      </c>
      <c r="L98" s="174">
        <f t="shared" si="24"/>
        <v>0</v>
      </c>
      <c r="M98" s="174">
        <v>0</v>
      </c>
      <c r="N98" s="174">
        <v>0</v>
      </c>
      <c r="O98" s="174">
        <v>0</v>
      </c>
      <c r="P98" s="174">
        <f t="shared" si="25"/>
        <v>0</v>
      </c>
      <c r="Q98" s="175">
        <v>0</v>
      </c>
      <c r="R98" s="175">
        <v>0</v>
      </c>
      <c r="S98" s="175">
        <v>0</v>
      </c>
      <c r="T98" s="175">
        <v>0</v>
      </c>
      <c r="U98" s="175">
        <f t="shared" si="26"/>
        <v>0</v>
      </c>
      <c r="V98" s="175">
        <f t="shared" si="27"/>
        <v>-1770</v>
      </c>
      <c r="W98" s="174">
        <v>0</v>
      </c>
      <c r="X98" s="174">
        <f t="shared" si="28"/>
        <v>-1770</v>
      </c>
      <c r="Y98" s="175">
        <v>0</v>
      </c>
      <c r="Z98" s="174">
        <f t="shared" si="29"/>
        <v>-1770</v>
      </c>
    </row>
    <row r="99" spans="1:26" ht="12.75" hidden="1" outlineLevel="1">
      <c r="A99" s="174" t="s">
        <v>665</v>
      </c>
      <c r="C99" s="175" t="s">
        <v>666</v>
      </c>
      <c r="D99" s="175" t="s">
        <v>667</v>
      </c>
      <c r="E99" s="174">
        <v>0</v>
      </c>
      <c r="F99" s="174">
        <v>592411.79</v>
      </c>
      <c r="G99" s="175">
        <f t="shared" si="23"/>
        <v>592411.79</v>
      </c>
      <c r="H99" s="174">
        <v>791973.47</v>
      </c>
      <c r="I99" s="174">
        <v>0</v>
      </c>
      <c r="J99" s="174">
        <v>0</v>
      </c>
      <c r="K99" s="174">
        <v>0</v>
      </c>
      <c r="L99" s="174">
        <f t="shared" si="24"/>
        <v>0</v>
      </c>
      <c r="M99" s="174">
        <v>0</v>
      </c>
      <c r="N99" s="174">
        <v>0</v>
      </c>
      <c r="O99" s="174">
        <v>0</v>
      </c>
      <c r="P99" s="174">
        <f t="shared" si="25"/>
        <v>0</v>
      </c>
      <c r="Q99" s="175">
        <v>0</v>
      </c>
      <c r="R99" s="175">
        <v>0</v>
      </c>
      <c r="S99" s="175">
        <v>0</v>
      </c>
      <c r="T99" s="175">
        <v>0</v>
      </c>
      <c r="U99" s="175">
        <f t="shared" si="26"/>
        <v>0</v>
      </c>
      <c r="V99" s="175">
        <f t="shared" si="27"/>
        <v>1384385.26</v>
      </c>
      <c r="W99" s="174">
        <v>0</v>
      </c>
      <c r="X99" s="174">
        <f t="shared" si="28"/>
        <v>1384385.26</v>
      </c>
      <c r="Y99" s="175">
        <v>49712.35</v>
      </c>
      <c r="Z99" s="174">
        <f t="shared" si="29"/>
        <v>1434097.61</v>
      </c>
    </row>
    <row r="100" spans="1:26" ht="12.75" hidden="1" outlineLevel="1">
      <c r="A100" s="174" t="s">
        <v>668</v>
      </c>
      <c r="C100" s="175" t="s">
        <v>669</v>
      </c>
      <c r="D100" s="175" t="s">
        <v>670</v>
      </c>
      <c r="E100" s="174">
        <v>0</v>
      </c>
      <c r="F100" s="174">
        <v>205702.06</v>
      </c>
      <c r="G100" s="175">
        <f t="shared" si="23"/>
        <v>205702.06</v>
      </c>
      <c r="H100" s="174">
        <v>125859.13</v>
      </c>
      <c r="I100" s="174">
        <v>0</v>
      </c>
      <c r="J100" s="174">
        <v>0</v>
      </c>
      <c r="K100" s="174">
        <v>0</v>
      </c>
      <c r="L100" s="174">
        <f t="shared" si="24"/>
        <v>0</v>
      </c>
      <c r="M100" s="174">
        <v>0</v>
      </c>
      <c r="N100" s="174">
        <v>282.09</v>
      </c>
      <c r="O100" s="174">
        <v>0</v>
      </c>
      <c r="P100" s="174">
        <f t="shared" si="25"/>
        <v>282.09</v>
      </c>
      <c r="Q100" s="175">
        <v>0</v>
      </c>
      <c r="R100" s="175">
        <v>0</v>
      </c>
      <c r="S100" s="175">
        <v>0</v>
      </c>
      <c r="T100" s="175">
        <v>0</v>
      </c>
      <c r="U100" s="175">
        <f t="shared" si="26"/>
        <v>0</v>
      </c>
      <c r="V100" s="175">
        <f t="shared" si="27"/>
        <v>331843.28</v>
      </c>
      <c r="W100" s="174">
        <v>0</v>
      </c>
      <c r="X100" s="174">
        <f t="shared" si="28"/>
        <v>331843.28</v>
      </c>
      <c r="Y100" s="175">
        <v>0</v>
      </c>
      <c r="Z100" s="174">
        <f t="shared" si="29"/>
        <v>331843.28</v>
      </c>
    </row>
    <row r="101" spans="1:26" ht="12.75" hidden="1" outlineLevel="1">
      <c r="A101" s="174" t="s">
        <v>671</v>
      </c>
      <c r="C101" s="175" t="s">
        <v>672</v>
      </c>
      <c r="D101" s="175" t="s">
        <v>673</v>
      </c>
      <c r="E101" s="174">
        <v>0</v>
      </c>
      <c r="F101" s="174">
        <v>500324.39</v>
      </c>
      <c r="G101" s="175">
        <f t="shared" si="23"/>
        <v>500324.39</v>
      </c>
      <c r="H101" s="174">
        <v>379330.73</v>
      </c>
      <c r="I101" s="174">
        <v>0</v>
      </c>
      <c r="J101" s="174">
        <v>0</v>
      </c>
      <c r="K101" s="174">
        <v>0</v>
      </c>
      <c r="L101" s="174">
        <f t="shared" si="24"/>
        <v>0</v>
      </c>
      <c r="M101" s="174">
        <v>0</v>
      </c>
      <c r="N101" s="174">
        <v>0</v>
      </c>
      <c r="O101" s="174">
        <v>0</v>
      </c>
      <c r="P101" s="174">
        <f t="shared" si="25"/>
        <v>0</v>
      </c>
      <c r="Q101" s="175">
        <v>0</v>
      </c>
      <c r="R101" s="175">
        <v>0</v>
      </c>
      <c r="S101" s="175">
        <v>0</v>
      </c>
      <c r="T101" s="175">
        <v>0</v>
      </c>
      <c r="U101" s="175">
        <f t="shared" si="26"/>
        <v>0</v>
      </c>
      <c r="V101" s="175">
        <f t="shared" si="27"/>
        <v>879655.12</v>
      </c>
      <c r="W101" s="174">
        <v>0</v>
      </c>
      <c r="X101" s="174">
        <f t="shared" si="28"/>
        <v>879655.12</v>
      </c>
      <c r="Y101" s="175">
        <v>1449.41</v>
      </c>
      <c r="Z101" s="174">
        <f t="shared" si="29"/>
        <v>881104.53</v>
      </c>
    </row>
    <row r="102" spans="1:26" ht="12.75" hidden="1" outlineLevel="1">
      <c r="A102" s="174" t="s">
        <v>674</v>
      </c>
      <c r="C102" s="175" t="s">
        <v>675</v>
      </c>
      <c r="D102" s="175" t="s">
        <v>676</v>
      </c>
      <c r="E102" s="174">
        <v>0</v>
      </c>
      <c r="F102" s="174">
        <v>175501.37</v>
      </c>
      <c r="G102" s="175">
        <f t="shared" si="23"/>
        <v>175501.37</v>
      </c>
      <c r="H102" s="174">
        <v>357957.24</v>
      </c>
      <c r="I102" s="174">
        <v>0</v>
      </c>
      <c r="J102" s="174">
        <v>0</v>
      </c>
      <c r="K102" s="174">
        <v>0</v>
      </c>
      <c r="L102" s="174">
        <f t="shared" si="24"/>
        <v>0</v>
      </c>
      <c r="M102" s="174">
        <v>0</v>
      </c>
      <c r="N102" s="174">
        <v>0</v>
      </c>
      <c r="O102" s="174">
        <v>0</v>
      </c>
      <c r="P102" s="174">
        <f t="shared" si="25"/>
        <v>0</v>
      </c>
      <c r="Q102" s="175">
        <v>0</v>
      </c>
      <c r="R102" s="175">
        <v>0</v>
      </c>
      <c r="S102" s="175">
        <v>0</v>
      </c>
      <c r="T102" s="175">
        <v>0</v>
      </c>
      <c r="U102" s="175">
        <f t="shared" si="26"/>
        <v>0</v>
      </c>
      <c r="V102" s="175">
        <f t="shared" si="27"/>
        <v>533458.61</v>
      </c>
      <c r="W102" s="174">
        <v>0</v>
      </c>
      <c r="X102" s="174">
        <f t="shared" si="28"/>
        <v>533458.61</v>
      </c>
      <c r="Y102" s="175">
        <v>0</v>
      </c>
      <c r="Z102" s="174">
        <f t="shared" si="29"/>
        <v>533458.61</v>
      </c>
    </row>
    <row r="103" spans="1:26" ht="12.75" hidden="1" outlineLevel="1">
      <c r="A103" s="174" t="s">
        <v>677</v>
      </c>
      <c r="C103" s="175" t="s">
        <v>678</v>
      </c>
      <c r="D103" s="175" t="s">
        <v>679</v>
      </c>
      <c r="E103" s="174">
        <v>0</v>
      </c>
      <c r="F103" s="174">
        <v>16373.9</v>
      </c>
      <c r="G103" s="175">
        <f t="shared" si="23"/>
        <v>16373.9</v>
      </c>
      <c r="H103" s="174">
        <v>1704.59</v>
      </c>
      <c r="I103" s="174">
        <v>0</v>
      </c>
      <c r="J103" s="174">
        <v>0</v>
      </c>
      <c r="K103" s="174">
        <v>0</v>
      </c>
      <c r="L103" s="174">
        <f t="shared" si="24"/>
        <v>0</v>
      </c>
      <c r="M103" s="174">
        <v>0</v>
      </c>
      <c r="N103" s="174">
        <v>0</v>
      </c>
      <c r="O103" s="174">
        <v>0</v>
      </c>
      <c r="P103" s="174">
        <f t="shared" si="25"/>
        <v>0</v>
      </c>
      <c r="Q103" s="175">
        <v>0</v>
      </c>
      <c r="R103" s="175">
        <v>0</v>
      </c>
      <c r="S103" s="175">
        <v>0</v>
      </c>
      <c r="T103" s="175">
        <v>0</v>
      </c>
      <c r="U103" s="175">
        <f t="shared" si="26"/>
        <v>0</v>
      </c>
      <c r="V103" s="175">
        <f t="shared" si="27"/>
        <v>18078.489999999998</v>
      </c>
      <c r="W103" s="174">
        <v>0</v>
      </c>
      <c r="X103" s="174">
        <f t="shared" si="28"/>
        <v>18078.489999999998</v>
      </c>
      <c r="Y103" s="175">
        <v>0</v>
      </c>
      <c r="Z103" s="174">
        <f t="shared" si="29"/>
        <v>18078.489999999998</v>
      </c>
    </row>
    <row r="104" spans="1:26" ht="12.75" hidden="1" outlineLevel="1">
      <c r="A104" s="174" t="s">
        <v>680</v>
      </c>
      <c r="C104" s="175" t="s">
        <v>681</v>
      </c>
      <c r="D104" s="175" t="s">
        <v>682</v>
      </c>
      <c r="E104" s="174">
        <v>0</v>
      </c>
      <c r="F104" s="174">
        <v>80671.36</v>
      </c>
      <c r="G104" s="175">
        <f t="shared" si="23"/>
        <v>80671.36</v>
      </c>
      <c r="H104" s="174">
        <v>9101.5</v>
      </c>
      <c r="I104" s="174">
        <v>0</v>
      </c>
      <c r="J104" s="174">
        <v>0</v>
      </c>
      <c r="K104" s="174">
        <v>0</v>
      </c>
      <c r="L104" s="174">
        <f t="shared" si="24"/>
        <v>0</v>
      </c>
      <c r="M104" s="174">
        <v>0</v>
      </c>
      <c r="N104" s="174">
        <v>0</v>
      </c>
      <c r="O104" s="174">
        <v>0</v>
      </c>
      <c r="P104" s="174">
        <f t="shared" si="25"/>
        <v>0</v>
      </c>
      <c r="Q104" s="175">
        <v>0</v>
      </c>
      <c r="R104" s="175">
        <v>0</v>
      </c>
      <c r="S104" s="175">
        <v>0</v>
      </c>
      <c r="T104" s="175">
        <v>0</v>
      </c>
      <c r="U104" s="175">
        <f t="shared" si="26"/>
        <v>0</v>
      </c>
      <c r="V104" s="175">
        <f t="shared" si="27"/>
        <v>89772.86</v>
      </c>
      <c r="W104" s="174">
        <v>0</v>
      </c>
      <c r="X104" s="174">
        <f t="shared" si="28"/>
        <v>89772.86</v>
      </c>
      <c r="Y104" s="175">
        <v>0</v>
      </c>
      <c r="Z104" s="174">
        <f t="shared" si="29"/>
        <v>89772.86</v>
      </c>
    </row>
    <row r="105" spans="1:26" ht="12.75" hidden="1" outlineLevel="1">
      <c r="A105" s="174" t="s">
        <v>683</v>
      </c>
      <c r="C105" s="175" t="s">
        <v>684</v>
      </c>
      <c r="D105" s="175" t="s">
        <v>685</v>
      </c>
      <c r="E105" s="174">
        <v>0</v>
      </c>
      <c r="F105" s="174">
        <v>239445.46</v>
      </c>
      <c r="G105" s="175">
        <f t="shared" si="23"/>
        <v>239445.46</v>
      </c>
      <c r="H105" s="174">
        <v>27974.55</v>
      </c>
      <c r="I105" s="174">
        <v>0</v>
      </c>
      <c r="J105" s="174">
        <v>0</v>
      </c>
      <c r="K105" s="174">
        <v>0</v>
      </c>
      <c r="L105" s="174">
        <f t="shared" si="24"/>
        <v>0</v>
      </c>
      <c r="M105" s="174">
        <v>0</v>
      </c>
      <c r="N105" s="174">
        <v>0</v>
      </c>
      <c r="O105" s="174">
        <v>0</v>
      </c>
      <c r="P105" s="174">
        <f t="shared" si="25"/>
        <v>0</v>
      </c>
      <c r="Q105" s="175">
        <v>0</v>
      </c>
      <c r="R105" s="175">
        <v>0</v>
      </c>
      <c r="S105" s="175">
        <v>0</v>
      </c>
      <c r="T105" s="175">
        <v>0</v>
      </c>
      <c r="U105" s="175">
        <f t="shared" si="26"/>
        <v>0</v>
      </c>
      <c r="V105" s="175">
        <f t="shared" si="27"/>
        <v>267420.01</v>
      </c>
      <c r="W105" s="174">
        <v>0</v>
      </c>
      <c r="X105" s="174">
        <f t="shared" si="28"/>
        <v>267420.01</v>
      </c>
      <c r="Y105" s="175">
        <v>0</v>
      </c>
      <c r="Z105" s="174">
        <f t="shared" si="29"/>
        <v>267420.01</v>
      </c>
    </row>
    <row r="106" spans="1:26" ht="12.75" hidden="1" outlineLevel="1">
      <c r="A106" s="174" t="s">
        <v>686</v>
      </c>
      <c r="C106" s="175" t="s">
        <v>687</v>
      </c>
      <c r="D106" s="175" t="s">
        <v>688</v>
      </c>
      <c r="E106" s="174">
        <v>0</v>
      </c>
      <c r="F106" s="174">
        <v>165791.45</v>
      </c>
      <c r="G106" s="175">
        <f t="shared" si="23"/>
        <v>165791.45</v>
      </c>
      <c r="H106" s="174">
        <v>2053.95</v>
      </c>
      <c r="I106" s="174">
        <v>0</v>
      </c>
      <c r="J106" s="174">
        <v>0</v>
      </c>
      <c r="K106" s="174">
        <v>0</v>
      </c>
      <c r="L106" s="174">
        <f t="shared" si="24"/>
        <v>0</v>
      </c>
      <c r="M106" s="174">
        <v>0</v>
      </c>
      <c r="N106" s="174">
        <v>0</v>
      </c>
      <c r="O106" s="174">
        <v>0</v>
      </c>
      <c r="P106" s="174">
        <f t="shared" si="25"/>
        <v>0</v>
      </c>
      <c r="Q106" s="175">
        <v>0</v>
      </c>
      <c r="R106" s="175">
        <v>0</v>
      </c>
      <c r="S106" s="175">
        <v>0</v>
      </c>
      <c r="T106" s="175">
        <v>0</v>
      </c>
      <c r="U106" s="175">
        <f t="shared" si="26"/>
        <v>0</v>
      </c>
      <c r="V106" s="175">
        <f t="shared" si="27"/>
        <v>167845.40000000002</v>
      </c>
      <c r="W106" s="174">
        <v>0</v>
      </c>
      <c r="X106" s="174">
        <f t="shared" si="28"/>
        <v>167845.40000000002</v>
      </c>
      <c r="Y106" s="175">
        <v>0</v>
      </c>
      <c r="Z106" s="174">
        <f t="shared" si="29"/>
        <v>167845.40000000002</v>
      </c>
    </row>
    <row r="107" spans="1:26" ht="12.75" hidden="1" outlineLevel="1">
      <c r="A107" s="174" t="s">
        <v>689</v>
      </c>
      <c r="C107" s="175" t="s">
        <v>690</v>
      </c>
      <c r="D107" s="175" t="s">
        <v>691</v>
      </c>
      <c r="E107" s="174">
        <v>0</v>
      </c>
      <c r="F107" s="174">
        <v>2475.95</v>
      </c>
      <c r="G107" s="175">
        <f t="shared" si="23"/>
        <v>2475.95</v>
      </c>
      <c r="H107" s="174">
        <v>2435.56</v>
      </c>
      <c r="I107" s="174">
        <v>0</v>
      </c>
      <c r="J107" s="174">
        <v>0</v>
      </c>
      <c r="K107" s="174">
        <v>0</v>
      </c>
      <c r="L107" s="174">
        <f t="shared" si="24"/>
        <v>0</v>
      </c>
      <c r="M107" s="174">
        <v>0</v>
      </c>
      <c r="N107" s="174">
        <v>0</v>
      </c>
      <c r="O107" s="174">
        <v>0</v>
      </c>
      <c r="P107" s="174">
        <f t="shared" si="25"/>
        <v>0</v>
      </c>
      <c r="Q107" s="175">
        <v>0</v>
      </c>
      <c r="R107" s="175">
        <v>0</v>
      </c>
      <c r="S107" s="175">
        <v>0</v>
      </c>
      <c r="T107" s="175">
        <v>0</v>
      </c>
      <c r="U107" s="175">
        <f t="shared" si="26"/>
        <v>0</v>
      </c>
      <c r="V107" s="175">
        <f t="shared" si="27"/>
        <v>4911.51</v>
      </c>
      <c r="W107" s="174">
        <v>0</v>
      </c>
      <c r="X107" s="174">
        <f t="shared" si="28"/>
        <v>4911.51</v>
      </c>
      <c r="Y107" s="175">
        <v>0</v>
      </c>
      <c r="Z107" s="174">
        <f t="shared" si="29"/>
        <v>4911.51</v>
      </c>
    </row>
    <row r="108" spans="1:26" ht="12.75" hidden="1" outlineLevel="1">
      <c r="A108" s="174" t="s">
        <v>692</v>
      </c>
      <c r="C108" s="175" t="s">
        <v>693</v>
      </c>
      <c r="D108" s="175" t="s">
        <v>694</v>
      </c>
      <c r="E108" s="174">
        <v>0</v>
      </c>
      <c r="F108" s="174">
        <v>37115.47</v>
      </c>
      <c r="G108" s="175">
        <f t="shared" si="23"/>
        <v>37115.47</v>
      </c>
      <c r="H108" s="174">
        <v>7055.2</v>
      </c>
      <c r="I108" s="174">
        <v>0</v>
      </c>
      <c r="J108" s="174">
        <v>0</v>
      </c>
      <c r="K108" s="174">
        <v>0</v>
      </c>
      <c r="L108" s="174">
        <f t="shared" si="24"/>
        <v>0</v>
      </c>
      <c r="M108" s="174">
        <v>0</v>
      </c>
      <c r="N108" s="174">
        <v>0</v>
      </c>
      <c r="O108" s="174">
        <v>0</v>
      </c>
      <c r="P108" s="174">
        <f t="shared" si="25"/>
        <v>0</v>
      </c>
      <c r="Q108" s="175">
        <v>0</v>
      </c>
      <c r="R108" s="175">
        <v>0</v>
      </c>
      <c r="S108" s="175">
        <v>0</v>
      </c>
      <c r="T108" s="175">
        <v>0</v>
      </c>
      <c r="U108" s="175">
        <f t="shared" si="26"/>
        <v>0</v>
      </c>
      <c r="V108" s="175">
        <f t="shared" si="27"/>
        <v>44170.67</v>
      </c>
      <c r="W108" s="174">
        <v>0</v>
      </c>
      <c r="X108" s="174">
        <f t="shared" si="28"/>
        <v>44170.67</v>
      </c>
      <c r="Y108" s="175">
        <v>225</v>
      </c>
      <c r="Z108" s="174">
        <f t="shared" si="29"/>
        <v>44395.67</v>
      </c>
    </row>
    <row r="109" spans="1:26" ht="12.75" hidden="1" outlineLevel="1">
      <c r="A109" s="174" t="s">
        <v>695</v>
      </c>
      <c r="C109" s="175" t="s">
        <v>696</v>
      </c>
      <c r="D109" s="175" t="s">
        <v>697</v>
      </c>
      <c r="E109" s="174">
        <v>0</v>
      </c>
      <c r="F109" s="174">
        <v>39962.73</v>
      </c>
      <c r="G109" s="175">
        <f t="shared" si="23"/>
        <v>39962.73</v>
      </c>
      <c r="H109" s="174">
        <v>30885.58</v>
      </c>
      <c r="I109" s="174">
        <v>0</v>
      </c>
      <c r="J109" s="174">
        <v>0</v>
      </c>
      <c r="K109" s="174">
        <v>0</v>
      </c>
      <c r="L109" s="174">
        <f t="shared" si="24"/>
        <v>0</v>
      </c>
      <c r="M109" s="174">
        <v>0</v>
      </c>
      <c r="N109" s="174">
        <v>0</v>
      </c>
      <c r="O109" s="174">
        <v>0</v>
      </c>
      <c r="P109" s="174">
        <f t="shared" si="25"/>
        <v>0</v>
      </c>
      <c r="Q109" s="175">
        <v>0</v>
      </c>
      <c r="R109" s="175">
        <v>0</v>
      </c>
      <c r="S109" s="175">
        <v>0</v>
      </c>
      <c r="T109" s="175">
        <v>0</v>
      </c>
      <c r="U109" s="175">
        <f t="shared" si="26"/>
        <v>0</v>
      </c>
      <c r="V109" s="175">
        <f t="shared" si="27"/>
        <v>70848.31</v>
      </c>
      <c r="W109" s="174">
        <v>0</v>
      </c>
      <c r="X109" s="174">
        <f t="shared" si="28"/>
        <v>70848.31</v>
      </c>
      <c r="Y109" s="175">
        <v>0</v>
      </c>
      <c r="Z109" s="174">
        <f t="shared" si="29"/>
        <v>70848.31</v>
      </c>
    </row>
    <row r="110" spans="1:26" ht="12.75" hidden="1" outlineLevel="1">
      <c r="A110" s="174" t="s">
        <v>698</v>
      </c>
      <c r="C110" s="175" t="s">
        <v>699</v>
      </c>
      <c r="D110" s="175" t="s">
        <v>700</v>
      </c>
      <c r="E110" s="174">
        <v>0</v>
      </c>
      <c r="F110" s="174">
        <v>325245.42</v>
      </c>
      <c r="G110" s="175">
        <f t="shared" si="23"/>
        <v>325245.42</v>
      </c>
      <c r="H110" s="174">
        <v>55651.21</v>
      </c>
      <c r="I110" s="174">
        <v>0</v>
      </c>
      <c r="J110" s="174">
        <v>0</v>
      </c>
      <c r="K110" s="174">
        <v>0</v>
      </c>
      <c r="L110" s="174">
        <f t="shared" si="24"/>
        <v>0</v>
      </c>
      <c r="M110" s="174">
        <v>0</v>
      </c>
      <c r="N110" s="174">
        <v>0</v>
      </c>
      <c r="O110" s="174">
        <v>0</v>
      </c>
      <c r="P110" s="174">
        <f t="shared" si="25"/>
        <v>0</v>
      </c>
      <c r="Q110" s="175">
        <v>0</v>
      </c>
      <c r="R110" s="175">
        <v>0</v>
      </c>
      <c r="S110" s="175">
        <v>0</v>
      </c>
      <c r="T110" s="175">
        <v>0</v>
      </c>
      <c r="U110" s="175">
        <f t="shared" si="26"/>
        <v>0</v>
      </c>
      <c r="V110" s="175">
        <f t="shared" si="27"/>
        <v>380896.63</v>
      </c>
      <c r="W110" s="174">
        <v>0</v>
      </c>
      <c r="X110" s="174">
        <f t="shared" si="28"/>
        <v>380896.63</v>
      </c>
      <c r="Y110" s="175">
        <v>212.4</v>
      </c>
      <c r="Z110" s="174">
        <f t="shared" si="29"/>
        <v>381109.03</v>
      </c>
    </row>
    <row r="111" spans="1:26" ht="12.75" hidden="1" outlineLevel="1">
      <c r="A111" s="174" t="s">
        <v>701</v>
      </c>
      <c r="C111" s="175" t="s">
        <v>702</v>
      </c>
      <c r="D111" s="175" t="s">
        <v>703</v>
      </c>
      <c r="E111" s="174">
        <v>0</v>
      </c>
      <c r="F111" s="174">
        <v>29043.86</v>
      </c>
      <c r="G111" s="175">
        <f t="shared" si="23"/>
        <v>29043.86</v>
      </c>
      <c r="H111" s="174">
        <v>20673.21</v>
      </c>
      <c r="I111" s="174">
        <v>0</v>
      </c>
      <c r="J111" s="174">
        <v>0</v>
      </c>
      <c r="K111" s="174">
        <v>0</v>
      </c>
      <c r="L111" s="174">
        <f t="shared" si="24"/>
        <v>0</v>
      </c>
      <c r="M111" s="174">
        <v>0</v>
      </c>
      <c r="N111" s="174">
        <v>0</v>
      </c>
      <c r="O111" s="174">
        <v>0</v>
      </c>
      <c r="P111" s="174">
        <f t="shared" si="25"/>
        <v>0</v>
      </c>
      <c r="Q111" s="175">
        <v>295.5</v>
      </c>
      <c r="R111" s="175">
        <v>0</v>
      </c>
      <c r="S111" s="175">
        <v>0</v>
      </c>
      <c r="T111" s="175">
        <v>0</v>
      </c>
      <c r="U111" s="175">
        <f t="shared" si="26"/>
        <v>295.5</v>
      </c>
      <c r="V111" s="175">
        <f t="shared" si="27"/>
        <v>50012.57</v>
      </c>
      <c r="W111" s="174">
        <v>0</v>
      </c>
      <c r="X111" s="174">
        <f t="shared" si="28"/>
        <v>50012.57</v>
      </c>
      <c r="Y111" s="175">
        <v>1674</v>
      </c>
      <c r="Z111" s="174">
        <f t="shared" si="29"/>
        <v>51686.57</v>
      </c>
    </row>
    <row r="112" spans="1:26" ht="12.75" hidden="1" outlineLevel="1">
      <c r="A112" s="174" t="s">
        <v>704</v>
      </c>
      <c r="C112" s="175" t="s">
        <v>705</v>
      </c>
      <c r="D112" s="175" t="s">
        <v>706</v>
      </c>
      <c r="E112" s="174">
        <v>0</v>
      </c>
      <c r="F112" s="174">
        <v>1497.21</v>
      </c>
      <c r="G112" s="175">
        <f t="shared" si="23"/>
        <v>1497.21</v>
      </c>
      <c r="H112" s="174">
        <v>694.64</v>
      </c>
      <c r="I112" s="174">
        <v>0</v>
      </c>
      <c r="J112" s="174">
        <v>0</v>
      </c>
      <c r="K112" s="174">
        <v>0</v>
      </c>
      <c r="L112" s="174">
        <f t="shared" si="24"/>
        <v>0</v>
      </c>
      <c r="M112" s="174">
        <v>0</v>
      </c>
      <c r="N112" s="174">
        <v>0</v>
      </c>
      <c r="O112" s="174">
        <v>0</v>
      </c>
      <c r="P112" s="174">
        <f t="shared" si="25"/>
        <v>0</v>
      </c>
      <c r="Q112" s="175">
        <v>0</v>
      </c>
      <c r="R112" s="175">
        <v>0</v>
      </c>
      <c r="S112" s="175">
        <v>0</v>
      </c>
      <c r="T112" s="175">
        <v>0</v>
      </c>
      <c r="U112" s="175">
        <f t="shared" si="26"/>
        <v>0</v>
      </c>
      <c r="V112" s="175">
        <f t="shared" si="27"/>
        <v>2191.85</v>
      </c>
      <c r="W112" s="174">
        <v>0</v>
      </c>
      <c r="X112" s="174">
        <f t="shared" si="28"/>
        <v>2191.85</v>
      </c>
      <c r="Y112" s="175">
        <v>0</v>
      </c>
      <c r="Z112" s="174">
        <f t="shared" si="29"/>
        <v>2191.85</v>
      </c>
    </row>
    <row r="113" spans="1:26" ht="12.75" hidden="1" outlineLevel="1">
      <c r="A113" s="174" t="s">
        <v>707</v>
      </c>
      <c r="C113" s="175" t="s">
        <v>708</v>
      </c>
      <c r="D113" s="175" t="s">
        <v>709</v>
      </c>
      <c r="E113" s="174">
        <v>0</v>
      </c>
      <c r="F113" s="174">
        <v>88534.3</v>
      </c>
      <c r="G113" s="175">
        <f t="shared" si="23"/>
        <v>88534.3</v>
      </c>
      <c r="H113" s="174">
        <v>39991.23</v>
      </c>
      <c r="I113" s="174">
        <v>0</v>
      </c>
      <c r="J113" s="174">
        <v>0</v>
      </c>
      <c r="K113" s="174">
        <v>0</v>
      </c>
      <c r="L113" s="174">
        <f t="shared" si="24"/>
        <v>0</v>
      </c>
      <c r="M113" s="174">
        <v>0</v>
      </c>
      <c r="N113" s="174">
        <v>283.41</v>
      </c>
      <c r="O113" s="174">
        <v>0</v>
      </c>
      <c r="P113" s="174">
        <f t="shared" si="25"/>
        <v>283.41</v>
      </c>
      <c r="Q113" s="175">
        <v>0</v>
      </c>
      <c r="R113" s="175">
        <v>0</v>
      </c>
      <c r="S113" s="175">
        <v>0</v>
      </c>
      <c r="T113" s="175">
        <v>0</v>
      </c>
      <c r="U113" s="175">
        <f t="shared" si="26"/>
        <v>0</v>
      </c>
      <c r="V113" s="175">
        <f t="shared" si="27"/>
        <v>128808.94</v>
      </c>
      <c r="W113" s="174">
        <v>0</v>
      </c>
      <c r="X113" s="174">
        <f t="shared" si="28"/>
        <v>128808.94</v>
      </c>
      <c r="Y113" s="175">
        <v>1489.9</v>
      </c>
      <c r="Z113" s="174">
        <f t="shared" si="29"/>
        <v>130298.84</v>
      </c>
    </row>
    <row r="114" spans="1:26" ht="12.75" hidden="1" outlineLevel="1">
      <c r="A114" s="174" t="s">
        <v>710</v>
      </c>
      <c r="C114" s="175" t="s">
        <v>711</v>
      </c>
      <c r="D114" s="175" t="s">
        <v>712</v>
      </c>
      <c r="E114" s="174">
        <v>0</v>
      </c>
      <c r="F114" s="174">
        <v>7579.6</v>
      </c>
      <c r="G114" s="175">
        <f t="shared" si="23"/>
        <v>7579.6</v>
      </c>
      <c r="H114" s="174">
        <v>2156.7</v>
      </c>
      <c r="I114" s="174">
        <v>0</v>
      </c>
      <c r="J114" s="174">
        <v>0</v>
      </c>
      <c r="K114" s="174">
        <v>0</v>
      </c>
      <c r="L114" s="174">
        <f t="shared" si="24"/>
        <v>0</v>
      </c>
      <c r="M114" s="174">
        <v>0</v>
      </c>
      <c r="N114" s="174">
        <v>0</v>
      </c>
      <c r="O114" s="174">
        <v>0</v>
      </c>
      <c r="P114" s="174">
        <f t="shared" si="25"/>
        <v>0</v>
      </c>
      <c r="Q114" s="175">
        <v>0</v>
      </c>
      <c r="R114" s="175">
        <v>0</v>
      </c>
      <c r="S114" s="175">
        <v>0</v>
      </c>
      <c r="T114" s="175">
        <v>0</v>
      </c>
      <c r="U114" s="175">
        <f t="shared" si="26"/>
        <v>0</v>
      </c>
      <c r="V114" s="175">
        <f t="shared" si="27"/>
        <v>9736.3</v>
      </c>
      <c r="W114" s="174">
        <v>0</v>
      </c>
      <c r="X114" s="174">
        <f t="shared" si="28"/>
        <v>9736.3</v>
      </c>
      <c r="Y114" s="175">
        <v>0</v>
      </c>
      <c r="Z114" s="174">
        <f t="shared" si="29"/>
        <v>9736.3</v>
      </c>
    </row>
    <row r="115" spans="1:26" ht="12.75" hidden="1" outlineLevel="1">
      <c r="A115" s="174" t="s">
        <v>713</v>
      </c>
      <c r="C115" s="175" t="s">
        <v>714</v>
      </c>
      <c r="D115" s="175" t="s">
        <v>715</v>
      </c>
      <c r="E115" s="174">
        <v>0</v>
      </c>
      <c r="F115" s="174">
        <v>4379.8</v>
      </c>
      <c r="G115" s="175">
        <f t="shared" si="23"/>
        <v>4379.8</v>
      </c>
      <c r="H115" s="174">
        <v>159</v>
      </c>
      <c r="I115" s="174">
        <v>0</v>
      </c>
      <c r="J115" s="174">
        <v>0</v>
      </c>
      <c r="K115" s="174">
        <v>0</v>
      </c>
      <c r="L115" s="174">
        <f t="shared" si="24"/>
        <v>0</v>
      </c>
      <c r="M115" s="174">
        <v>0</v>
      </c>
      <c r="N115" s="174">
        <v>0</v>
      </c>
      <c r="O115" s="174">
        <v>0</v>
      </c>
      <c r="P115" s="174">
        <f t="shared" si="25"/>
        <v>0</v>
      </c>
      <c r="Q115" s="175">
        <v>0</v>
      </c>
      <c r="R115" s="175">
        <v>0</v>
      </c>
      <c r="S115" s="175">
        <v>0</v>
      </c>
      <c r="T115" s="175">
        <v>0</v>
      </c>
      <c r="U115" s="175">
        <f t="shared" si="26"/>
        <v>0</v>
      </c>
      <c r="V115" s="175">
        <f t="shared" si="27"/>
        <v>4538.8</v>
      </c>
      <c r="W115" s="174">
        <v>0</v>
      </c>
      <c r="X115" s="174">
        <f t="shared" si="28"/>
        <v>4538.8</v>
      </c>
      <c r="Y115" s="175">
        <v>0</v>
      </c>
      <c r="Z115" s="174">
        <f t="shared" si="29"/>
        <v>4538.8</v>
      </c>
    </row>
    <row r="116" spans="1:26" ht="12.75" hidden="1" outlineLevel="1">
      <c r="A116" s="174" t="s">
        <v>716</v>
      </c>
      <c r="C116" s="175" t="s">
        <v>717</v>
      </c>
      <c r="D116" s="175" t="s">
        <v>718</v>
      </c>
      <c r="E116" s="174">
        <v>0</v>
      </c>
      <c r="F116" s="174">
        <v>3479.97</v>
      </c>
      <c r="G116" s="175">
        <f t="shared" si="23"/>
        <v>3479.97</v>
      </c>
      <c r="H116" s="174">
        <v>136.83</v>
      </c>
      <c r="I116" s="174">
        <v>0</v>
      </c>
      <c r="J116" s="174">
        <v>0</v>
      </c>
      <c r="K116" s="174">
        <v>0</v>
      </c>
      <c r="L116" s="174">
        <f t="shared" si="24"/>
        <v>0</v>
      </c>
      <c r="M116" s="174">
        <v>0</v>
      </c>
      <c r="N116" s="174">
        <v>0</v>
      </c>
      <c r="O116" s="174">
        <v>0</v>
      </c>
      <c r="P116" s="174">
        <f t="shared" si="25"/>
        <v>0</v>
      </c>
      <c r="Q116" s="175">
        <v>0</v>
      </c>
      <c r="R116" s="175">
        <v>0</v>
      </c>
      <c r="S116" s="175">
        <v>0</v>
      </c>
      <c r="T116" s="175">
        <v>0</v>
      </c>
      <c r="U116" s="175">
        <f t="shared" si="26"/>
        <v>0</v>
      </c>
      <c r="V116" s="175">
        <f t="shared" si="27"/>
        <v>3616.7999999999997</v>
      </c>
      <c r="W116" s="174">
        <v>0</v>
      </c>
      <c r="X116" s="174">
        <f t="shared" si="28"/>
        <v>3616.7999999999997</v>
      </c>
      <c r="Y116" s="175">
        <v>0</v>
      </c>
      <c r="Z116" s="174">
        <f t="shared" si="29"/>
        <v>3616.7999999999997</v>
      </c>
    </row>
    <row r="117" spans="1:26" ht="12.75" hidden="1" outlineLevel="1">
      <c r="A117" s="174" t="s">
        <v>719</v>
      </c>
      <c r="C117" s="175" t="s">
        <v>720</v>
      </c>
      <c r="D117" s="175" t="s">
        <v>721</v>
      </c>
      <c r="E117" s="174">
        <v>0</v>
      </c>
      <c r="F117" s="174">
        <v>43437.34</v>
      </c>
      <c r="G117" s="175">
        <f t="shared" si="23"/>
        <v>43437.34</v>
      </c>
      <c r="H117" s="174">
        <v>5303.09</v>
      </c>
      <c r="I117" s="174">
        <v>0</v>
      </c>
      <c r="J117" s="174">
        <v>0</v>
      </c>
      <c r="K117" s="174">
        <v>0</v>
      </c>
      <c r="L117" s="174">
        <f t="shared" si="24"/>
        <v>0</v>
      </c>
      <c r="M117" s="174">
        <v>0</v>
      </c>
      <c r="N117" s="174">
        <v>0</v>
      </c>
      <c r="O117" s="174">
        <v>0</v>
      </c>
      <c r="P117" s="174">
        <f t="shared" si="25"/>
        <v>0</v>
      </c>
      <c r="Q117" s="175">
        <v>0</v>
      </c>
      <c r="R117" s="175">
        <v>0</v>
      </c>
      <c r="S117" s="175">
        <v>0</v>
      </c>
      <c r="T117" s="175">
        <v>0</v>
      </c>
      <c r="U117" s="175">
        <f t="shared" si="26"/>
        <v>0</v>
      </c>
      <c r="V117" s="175">
        <f t="shared" si="27"/>
        <v>48740.42999999999</v>
      </c>
      <c r="W117" s="174">
        <v>0</v>
      </c>
      <c r="X117" s="174">
        <f t="shared" si="28"/>
        <v>48740.42999999999</v>
      </c>
      <c r="Y117" s="175">
        <v>0</v>
      </c>
      <c r="Z117" s="174">
        <f t="shared" si="29"/>
        <v>48740.42999999999</v>
      </c>
    </row>
    <row r="118" spans="1:26" ht="12.75" hidden="1" outlineLevel="1">
      <c r="A118" s="174" t="s">
        <v>722</v>
      </c>
      <c r="C118" s="175" t="s">
        <v>723</v>
      </c>
      <c r="D118" s="175" t="s">
        <v>724</v>
      </c>
      <c r="E118" s="174">
        <v>0</v>
      </c>
      <c r="F118" s="174">
        <v>1479.79</v>
      </c>
      <c r="G118" s="175">
        <f t="shared" si="23"/>
        <v>1479.79</v>
      </c>
      <c r="H118" s="174">
        <v>0</v>
      </c>
      <c r="I118" s="174">
        <v>0</v>
      </c>
      <c r="J118" s="174">
        <v>0</v>
      </c>
      <c r="K118" s="174">
        <v>0</v>
      </c>
      <c r="L118" s="174">
        <f t="shared" si="24"/>
        <v>0</v>
      </c>
      <c r="M118" s="174">
        <v>0</v>
      </c>
      <c r="N118" s="174">
        <v>0</v>
      </c>
      <c r="O118" s="174">
        <v>0</v>
      </c>
      <c r="P118" s="174">
        <f t="shared" si="25"/>
        <v>0</v>
      </c>
      <c r="Q118" s="175">
        <v>0</v>
      </c>
      <c r="R118" s="175">
        <v>0</v>
      </c>
      <c r="S118" s="175">
        <v>0</v>
      </c>
      <c r="T118" s="175">
        <v>0</v>
      </c>
      <c r="U118" s="175">
        <f t="shared" si="26"/>
        <v>0</v>
      </c>
      <c r="V118" s="175">
        <f t="shared" si="27"/>
        <v>1479.79</v>
      </c>
      <c r="W118" s="174">
        <v>0</v>
      </c>
      <c r="X118" s="174">
        <f t="shared" si="28"/>
        <v>1479.79</v>
      </c>
      <c r="Y118" s="175">
        <v>0</v>
      </c>
      <c r="Z118" s="174">
        <f t="shared" si="29"/>
        <v>1479.79</v>
      </c>
    </row>
    <row r="119" spans="1:26" ht="12.75" hidden="1" outlineLevel="1">
      <c r="A119" s="174" t="s">
        <v>725</v>
      </c>
      <c r="C119" s="175" t="s">
        <v>726</v>
      </c>
      <c r="D119" s="175" t="s">
        <v>1573</v>
      </c>
      <c r="E119" s="174">
        <v>0</v>
      </c>
      <c r="F119" s="174">
        <v>176150.19</v>
      </c>
      <c r="G119" s="175">
        <f t="shared" si="23"/>
        <v>176150.19</v>
      </c>
      <c r="H119" s="174">
        <v>31510.99</v>
      </c>
      <c r="I119" s="174">
        <v>0</v>
      </c>
      <c r="J119" s="174">
        <v>0</v>
      </c>
      <c r="K119" s="174">
        <v>0</v>
      </c>
      <c r="L119" s="174">
        <f t="shared" si="24"/>
        <v>0</v>
      </c>
      <c r="M119" s="174">
        <v>0</v>
      </c>
      <c r="N119" s="174">
        <v>0</v>
      </c>
      <c r="O119" s="174">
        <v>0</v>
      </c>
      <c r="P119" s="174">
        <f t="shared" si="25"/>
        <v>0</v>
      </c>
      <c r="Q119" s="175">
        <v>16.65</v>
      </c>
      <c r="R119" s="175">
        <v>0</v>
      </c>
      <c r="S119" s="175">
        <v>0</v>
      </c>
      <c r="T119" s="175">
        <v>0</v>
      </c>
      <c r="U119" s="175">
        <f t="shared" si="26"/>
        <v>16.65</v>
      </c>
      <c r="V119" s="175">
        <f t="shared" si="27"/>
        <v>207677.83</v>
      </c>
      <c r="W119" s="174">
        <v>0</v>
      </c>
      <c r="X119" s="174">
        <f t="shared" si="28"/>
        <v>207677.83</v>
      </c>
      <c r="Y119" s="175">
        <v>0</v>
      </c>
      <c r="Z119" s="174">
        <f t="shared" si="29"/>
        <v>207677.83</v>
      </c>
    </row>
    <row r="120" spans="1:26" ht="12.75" hidden="1" outlineLevel="1">
      <c r="A120" s="174" t="s">
        <v>1574</v>
      </c>
      <c r="C120" s="175" t="s">
        <v>1575</v>
      </c>
      <c r="D120" s="175" t="s">
        <v>1576</v>
      </c>
      <c r="E120" s="174">
        <v>0</v>
      </c>
      <c r="F120" s="174">
        <v>156979.03</v>
      </c>
      <c r="G120" s="175">
        <f t="shared" si="23"/>
        <v>156979.03</v>
      </c>
      <c r="H120" s="174">
        <v>73931.36</v>
      </c>
      <c r="I120" s="174">
        <v>0</v>
      </c>
      <c r="J120" s="174">
        <v>0</v>
      </c>
      <c r="K120" s="174">
        <v>0</v>
      </c>
      <c r="L120" s="174">
        <f t="shared" si="24"/>
        <v>0</v>
      </c>
      <c r="M120" s="174">
        <v>0</v>
      </c>
      <c r="N120" s="174">
        <v>0</v>
      </c>
      <c r="O120" s="174">
        <v>0</v>
      </c>
      <c r="P120" s="174">
        <f t="shared" si="25"/>
        <v>0</v>
      </c>
      <c r="Q120" s="175">
        <v>0</v>
      </c>
      <c r="R120" s="175">
        <v>0</v>
      </c>
      <c r="S120" s="175">
        <v>0</v>
      </c>
      <c r="T120" s="175">
        <v>0</v>
      </c>
      <c r="U120" s="175">
        <f t="shared" si="26"/>
        <v>0</v>
      </c>
      <c r="V120" s="175">
        <f t="shared" si="27"/>
        <v>230910.39</v>
      </c>
      <c r="W120" s="174">
        <v>0</v>
      </c>
      <c r="X120" s="174">
        <f t="shared" si="28"/>
        <v>230910.39</v>
      </c>
      <c r="Y120" s="175">
        <v>1171.19</v>
      </c>
      <c r="Z120" s="174">
        <f t="shared" si="29"/>
        <v>232081.58000000002</v>
      </c>
    </row>
    <row r="121" spans="1:26" ht="12.75" hidden="1" outlineLevel="1">
      <c r="A121" s="174" t="s">
        <v>1577</v>
      </c>
      <c r="C121" s="175" t="s">
        <v>1578</v>
      </c>
      <c r="D121" s="175" t="s">
        <v>1579</v>
      </c>
      <c r="E121" s="174">
        <v>0</v>
      </c>
      <c r="F121" s="174">
        <v>14166.55</v>
      </c>
      <c r="G121" s="175">
        <f t="shared" si="23"/>
        <v>14166.55</v>
      </c>
      <c r="H121" s="174">
        <v>9803.29</v>
      </c>
      <c r="I121" s="174">
        <v>0</v>
      </c>
      <c r="J121" s="174">
        <v>0</v>
      </c>
      <c r="K121" s="174">
        <v>0</v>
      </c>
      <c r="L121" s="174">
        <f t="shared" si="24"/>
        <v>0</v>
      </c>
      <c r="M121" s="174">
        <v>0</v>
      </c>
      <c r="N121" s="174">
        <v>16</v>
      </c>
      <c r="O121" s="174">
        <v>0</v>
      </c>
      <c r="P121" s="174">
        <f t="shared" si="25"/>
        <v>16</v>
      </c>
      <c r="Q121" s="175">
        <v>0</v>
      </c>
      <c r="R121" s="175">
        <v>0</v>
      </c>
      <c r="S121" s="175">
        <v>0</v>
      </c>
      <c r="T121" s="175">
        <v>0</v>
      </c>
      <c r="U121" s="175">
        <f t="shared" si="26"/>
        <v>0</v>
      </c>
      <c r="V121" s="175">
        <f t="shared" si="27"/>
        <v>23985.84</v>
      </c>
      <c r="W121" s="174">
        <v>0</v>
      </c>
      <c r="X121" s="174">
        <f t="shared" si="28"/>
        <v>23985.84</v>
      </c>
      <c r="Y121" s="175">
        <v>0</v>
      </c>
      <c r="Z121" s="174">
        <f t="shared" si="29"/>
        <v>23985.84</v>
      </c>
    </row>
    <row r="122" spans="1:26" ht="12.75" hidden="1" outlineLevel="1">
      <c r="A122" s="174" t="s">
        <v>1580</v>
      </c>
      <c r="C122" s="175" t="s">
        <v>1581</v>
      </c>
      <c r="D122" s="175" t="s">
        <v>1582</v>
      </c>
      <c r="E122" s="174">
        <v>0</v>
      </c>
      <c r="F122" s="174">
        <v>45507.56</v>
      </c>
      <c r="G122" s="175">
        <f t="shared" si="23"/>
        <v>45507.56</v>
      </c>
      <c r="H122" s="174">
        <v>13275.47</v>
      </c>
      <c r="I122" s="174">
        <v>0</v>
      </c>
      <c r="J122" s="174">
        <v>0</v>
      </c>
      <c r="K122" s="174">
        <v>0</v>
      </c>
      <c r="L122" s="174">
        <f t="shared" si="24"/>
        <v>0</v>
      </c>
      <c r="M122" s="174">
        <v>0</v>
      </c>
      <c r="N122" s="174">
        <v>0</v>
      </c>
      <c r="O122" s="174">
        <v>0</v>
      </c>
      <c r="P122" s="174">
        <f t="shared" si="25"/>
        <v>0</v>
      </c>
      <c r="Q122" s="175">
        <v>0</v>
      </c>
      <c r="R122" s="175">
        <v>0</v>
      </c>
      <c r="S122" s="175">
        <v>0</v>
      </c>
      <c r="T122" s="175">
        <v>0</v>
      </c>
      <c r="U122" s="175">
        <f t="shared" si="26"/>
        <v>0</v>
      </c>
      <c r="V122" s="175">
        <f t="shared" si="27"/>
        <v>58783.03</v>
      </c>
      <c r="W122" s="174">
        <v>0</v>
      </c>
      <c r="X122" s="174">
        <f t="shared" si="28"/>
        <v>58783.03</v>
      </c>
      <c r="Y122" s="175">
        <v>0</v>
      </c>
      <c r="Z122" s="174">
        <f t="shared" si="29"/>
        <v>58783.03</v>
      </c>
    </row>
    <row r="123" spans="1:26" ht="12.75" hidden="1" outlineLevel="1">
      <c r="A123" s="174" t="s">
        <v>1583</v>
      </c>
      <c r="C123" s="175" t="s">
        <v>1584</v>
      </c>
      <c r="D123" s="175" t="s">
        <v>1585</v>
      </c>
      <c r="E123" s="174">
        <v>0</v>
      </c>
      <c r="F123" s="174">
        <v>5821.59</v>
      </c>
      <c r="G123" s="175">
        <f t="shared" si="23"/>
        <v>5821.59</v>
      </c>
      <c r="H123" s="174">
        <v>37053.42</v>
      </c>
      <c r="I123" s="174">
        <v>0</v>
      </c>
      <c r="J123" s="174">
        <v>0</v>
      </c>
      <c r="K123" s="174">
        <v>0</v>
      </c>
      <c r="L123" s="174">
        <f t="shared" si="24"/>
        <v>0</v>
      </c>
      <c r="M123" s="174">
        <v>0</v>
      </c>
      <c r="N123" s="174">
        <v>0</v>
      </c>
      <c r="O123" s="174">
        <v>0</v>
      </c>
      <c r="P123" s="174">
        <f t="shared" si="25"/>
        <v>0</v>
      </c>
      <c r="Q123" s="175">
        <v>0</v>
      </c>
      <c r="R123" s="175">
        <v>0</v>
      </c>
      <c r="S123" s="175">
        <v>0</v>
      </c>
      <c r="T123" s="175">
        <v>0</v>
      </c>
      <c r="U123" s="175">
        <f t="shared" si="26"/>
        <v>0</v>
      </c>
      <c r="V123" s="175">
        <f t="shared" si="27"/>
        <v>42875.009999999995</v>
      </c>
      <c r="W123" s="174">
        <v>0</v>
      </c>
      <c r="X123" s="174">
        <f t="shared" si="28"/>
        <v>42875.009999999995</v>
      </c>
      <c r="Y123" s="175">
        <v>0</v>
      </c>
      <c r="Z123" s="174">
        <f t="shared" si="29"/>
        <v>42875.009999999995</v>
      </c>
    </row>
    <row r="124" spans="1:26" ht="12.75" hidden="1" outlineLevel="1">
      <c r="A124" s="174" t="s">
        <v>1586</v>
      </c>
      <c r="C124" s="175" t="s">
        <v>1587</v>
      </c>
      <c r="D124" s="175" t="s">
        <v>1588</v>
      </c>
      <c r="E124" s="174">
        <v>0</v>
      </c>
      <c r="F124" s="174">
        <v>275</v>
      </c>
      <c r="G124" s="175">
        <f t="shared" si="23"/>
        <v>275</v>
      </c>
      <c r="H124" s="174">
        <v>0</v>
      </c>
      <c r="I124" s="174">
        <v>0</v>
      </c>
      <c r="J124" s="174">
        <v>0</v>
      </c>
      <c r="K124" s="174">
        <v>0</v>
      </c>
      <c r="L124" s="174">
        <f t="shared" si="24"/>
        <v>0</v>
      </c>
      <c r="M124" s="174">
        <v>0</v>
      </c>
      <c r="N124" s="174">
        <v>0</v>
      </c>
      <c r="O124" s="174">
        <v>0</v>
      </c>
      <c r="P124" s="174">
        <f t="shared" si="25"/>
        <v>0</v>
      </c>
      <c r="Q124" s="175">
        <v>0</v>
      </c>
      <c r="R124" s="175">
        <v>0</v>
      </c>
      <c r="S124" s="175">
        <v>0</v>
      </c>
      <c r="T124" s="175">
        <v>0</v>
      </c>
      <c r="U124" s="175">
        <f t="shared" si="26"/>
        <v>0</v>
      </c>
      <c r="V124" s="175">
        <f t="shared" si="27"/>
        <v>275</v>
      </c>
      <c r="W124" s="174">
        <v>0</v>
      </c>
      <c r="X124" s="174">
        <f t="shared" si="28"/>
        <v>275</v>
      </c>
      <c r="Y124" s="175">
        <v>0</v>
      </c>
      <c r="Z124" s="174">
        <f t="shared" si="29"/>
        <v>275</v>
      </c>
    </row>
    <row r="125" spans="1:26" ht="12.75" hidden="1" outlineLevel="1">
      <c r="A125" s="174" t="s">
        <v>1589</v>
      </c>
      <c r="C125" s="175" t="s">
        <v>1590</v>
      </c>
      <c r="D125" s="175" t="s">
        <v>1591</v>
      </c>
      <c r="E125" s="174">
        <v>0</v>
      </c>
      <c r="F125" s="174">
        <v>854483.44</v>
      </c>
      <c r="G125" s="175">
        <f t="shared" si="23"/>
        <v>854483.44</v>
      </c>
      <c r="H125" s="174">
        <v>61600.07</v>
      </c>
      <c r="I125" s="174">
        <v>0</v>
      </c>
      <c r="J125" s="174">
        <v>0</v>
      </c>
      <c r="K125" s="174">
        <v>0</v>
      </c>
      <c r="L125" s="174">
        <f t="shared" si="24"/>
        <v>0</v>
      </c>
      <c r="M125" s="174">
        <v>0</v>
      </c>
      <c r="N125" s="174">
        <v>0</v>
      </c>
      <c r="O125" s="174">
        <v>0</v>
      </c>
      <c r="P125" s="174">
        <f t="shared" si="25"/>
        <v>0</v>
      </c>
      <c r="Q125" s="175">
        <v>0.75</v>
      </c>
      <c r="R125" s="175">
        <v>264</v>
      </c>
      <c r="S125" s="175">
        <v>0</v>
      </c>
      <c r="T125" s="175">
        <v>0</v>
      </c>
      <c r="U125" s="175">
        <f t="shared" si="26"/>
        <v>264.75</v>
      </c>
      <c r="V125" s="175">
        <f t="shared" si="27"/>
        <v>916348.2599999999</v>
      </c>
      <c r="W125" s="174">
        <v>0</v>
      </c>
      <c r="X125" s="174">
        <f t="shared" si="28"/>
        <v>916348.2599999999</v>
      </c>
      <c r="Y125" s="175">
        <v>311.3</v>
      </c>
      <c r="Z125" s="174">
        <f t="shared" si="29"/>
        <v>916659.5599999999</v>
      </c>
    </row>
    <row r="126" spans="1:26" ht="12.75" hidden="1" outlineLevel="1">
      <c r="A126" s="174" t="s">
        <v>1592</v>
      </c>
      <c r="C126" s="175" t="s">
        <v>1593</v>
      </c>
      <c r="D126" s="175" t="s">
        <v>1594</v>
      </c>
      <c r="E126" s="174">
        <v>0</v>
      </c>
      <c r="F126" s="174">
        <v>34011.35</v>
      </c>
      <c r="G126" s="175">
        <f aca="true" t="shared" si="30" ref="G126:G189">E126+F126</f>
        <v>34011.35</v>
      </c>
      <c r="H126" s="174">
        <v>5.45</v>
      </c>
      <c r="I126" s="174">
        <v>0</v>
      </c>
      <c r="J126" s="174">
        <v>0</v>
      </c>
      <c r="K126" s="174">
        <v>0</v>
      </c>
      <c r="L126" s="174">
        <f aca="true" t="shared" si="31" ref="L126:L189">J126+I126+K126</f>
        <v>0</v>
      </c>
      <c r="M126" s="174">
        <v>0</v>
      </c>
      <c r="N126" s="174">
        <v>0</v>
      </c>
      <c r="O126" s="174">
        <v>0</v>
      </c>
      <c r="P126" s="174">
        <f aca="true" t="shared" si="32" ref="P126:P189">M126+N126+O126</f>
        <v>0</v>
      </c>
      <c r="Q126" s="175">
        <v>0</v>
      </c>
      <c r="R126" s="175">
        <v>0</v>
      </c>
      <c r="S126" s="175">
        <v>0</v>
      </c>
      <c r="T126" s="175">
        <v>0</v>
      </c>
      <c r="U126" s="175">
        <f aca="true" t="shared" si="33" ref="U126:U189">Q126+R126+S126+T126</f>
        <v>0</v>
      </c>
      <c r="V126" s="175">
        <f aca="true" t="shared" si="34" ref="V126:V189">G126+H126+L126+P126+U126</f>
        <v>34016.799999999996</v>
      </c>
      <c r="W126" s="174">
        <v>0</v>
      </c>
      <c r="X126" s="174">
        <f aca="true" t="shared" si="35" ref="X126:X189">V126+W126</f>
        <v>34016.799999999996</v>
      </c>
      <c r="Y126" s="175">
        <v>0</v>
      </c>
      <c r="Z126" s="174">
        <f aca="true" t="shared" si="36" ref="Z126:Z189">X126+Y126</f>
        <v>34016.799999999996</v>
      </c>
    </row>
    <row r="127" spans="1:26" ht="12.75" hidden="1" outlineLevel="1">
      <c r="A127" s="174" t="s">
        <v>1595</v>
      </c>
      <c r="C127" s="175" t="s">
        <v>1596</v>
      </c>
      <c r="D127" s="175" t="s">
        <v>1597</v>
      </c>
      <c r="E127" s="174">
        <v>0</v>
      </c>
      <c r="F127" s="174">
        <v>1976.35</v>
      </c>
      <c r="G127" s="175">
        <f t="shared" si="30"/>
        <v>1976.35</v>
      </c>
      <c r="H127" s="174">
        <v>0</v>
      </c>
      <c r="I127" s="174">
        <v>0</v>
      </c>
      <c r="J127" s="174">
        <v>0</v>
      </c>
      <c r="K127" s="174">
        <v>0</v>
      </c>
      <c r="L127" s="174">
        <f t="shared" si="31"/>
        <v>0</v>
      </c>
      <c r="M127" s="174">
        <v>0</v>
      </c>
      <c r="N127" s="174">
        <v>0</v>
      </c>
      <c r="O127" s="174">
        <v>0</v>
      </c>
      <c r="P127" s="174">
        <f t="shared" si="32"/>
        <v>0</v>
      </c>
      <c r="Q127" s="175">
        <v>0</v>
      </c>
      <c r="R127" s="175">
        <v>0</v>
      </c>
      <c r="S127" s="175">
        <v>0</v>
      </c>
      <c r="T127" s="175">
        <v>0</v>
      </c>
      <c r="U127" s="175">
        <f t="shared" si="33"/>
        <v>0</v>
      </c>
      <c r="V127" s="175">
        <f t="shared" si="34"/>
        <v>1976.35</v>
      </c>
      <c r="W127" s="174">
        <v>0</v>
      </c>
      <c r="X127" s="174">
        <f t="shared" si="35"/>
        <v>1976.35</v>
      </c>
      <c r="Y127" s="175">
        <v>0</v>
      </c>
      <c r="Z127" s="174">
        <f t="shared" si="36"/>
        <v>1976.35</v>
      </c>
    </row>
    <row r="128" spans="1:26" ht="12.75" hidden="1" outlineLevel="1">
      <c r="A128" s="174" t="s">
        <v>1598</v>
      </c>
      <c r="C128" s="175" t="s">
        <v>1599</v>
      </c>
      <c r="D128" s="175" t="s">
        <v>1600</v>
      </c>
      <c r="E128" s="174">
        <v>0</v>
      </c>
      <c r="F128" s="174">
        <v>7598.7</v>
      </c>
      <c r="G128" s="175">
        <f t="shared" si="30"/>
        <v>7598.7</v>
      </c>
      <c r="H128" s="174">
        <v>3284.44</v>
      </c>
      <c r="I128" s="174">
        <v>0</v>
      </c>
      <c r="J128" s="174">
        <v>0</v>
      </c>
      <c r="K128" s="174">
        <v>0</v>
      </c>
      <c r="L128" s="174">
        <f t="shared" si="31"/>
        <v>0</v>
      </c>
      <c r="M128" s="174">
        <v>0</v>
      </c>
      <c r="N128" s="174">
        <v>0</v>
      </c>
      <c r="O128" s="174">
        <v>0</v>
      </c>
      <c r="P128" s="174">
        <f t="shared" si="32"/>
        <v>0</v>
      </c>
      <c r="Q128" s="175">
        <v>0</v>
      </c>
      <c r="R128" s="175">
        <v>0</v>
      </c>
      <c r="S128" s="175">
        <v>0</v>
      </c>
      <c r="T128" s="175">
        <v>0</v>
      </c>
      <c r="U128" s="175">
        <f t="shared" si="33"/>
        <v>0</v>
      </c>
      <c r="V128" s="175">
        <f t="shared" si="34"/>
        <v>10883.14</v>
      </c>
      <c r="W128" s="174">
        <v>0</v>
      </c>
      <c r="X128" s="174">
        <f t="shared" si="35"/>
        <v>10883.14</v>
      </c>
      <c r="Y128" s="175">
        <v>0</v>
      </c>
      <c r="Z128" s="174">
        <f t="shared" si="36"/>
        <v>10883.14</v>
      </c>
    </row>
    <row r="129" spans="1:26" ht="12.75" hidden="1" outlineLevel="1">
      <c r="A129" s="174" t="s">
        <v>1601</v>
      </c>
      <c r="C129" s="175" t="s">
        <v>1602</v>
      </c>
      <c r="D129" s="175" t="s">
        <v>1603</v>
      </c>
      <c r="E129" s="174">
        <v>0</v>
      </c>
      <c r="F129" s="174">
        <v>78862.14</v>
      </c>
      <c r="G129" s="175">
        <f t="shared" si="30"/>
        <v>78862.14</v>
      </c>
      <c r="H129" s="174">
        <v>9466.12</v>
      </c>
      <c r="I129" s="174">
        <v>0</v>
      </c>
      <c r="J129" s="174">
        <v>0</v>
      </c>
      <c r="K129" s="174">
        <v>0</v>
      </c>
      <c r="L129" s="174">
        <f t="shared" si="31"/>
        <v>0</v>
      </c>
      <c r="M129" s="174">
        <v>0</v>
      </c>
      <c r="N129" s="174">
        <v>0</v>
      </c>
      <c r="O129" s="174">
        <v>0</v>
      </c>
      <c r="P129" s="174">
        <f t="shared" si="32"/>
        <v>0</v>
      </c>
      <c r="Q129" s="175">
        <v>0</v>
      </c>
      <c r="R129" s="175">
        <v>0</v>
      </c>
      <c r="S129" s="175">
        <v>0</v>
      </c>
      <c r="T129" s="175">
        <v>0</v>
      </c>
      <c r="U129" s="175">
        <f t="shared" si="33"/>
        <v>0</v>
      </c>
      <c r="V129" s="175">
        <f t="shared" si="34"/>
        <v>88328.26</v>
      </c>
      <c r="W129" s="174">
        <v>0</v>
      </c>
      <c r="X129" s="174">
        <f t="shared" si="35"/>
        <v>88328.26</v>
      </c>
      <c r="Y129" s="175">
        <v>0</v>
      </c>
      <c r="Z129" s="174">
        <f t="shared" si="36"/>
        <v>88328.26</v>
      </c>
    </row>
    <row r="130" spans="1:26" ht="12.75" hidden="1" outlineLevel="1">
      <c r="A130" s="174" t="s">
        <v>1604</v>
      </c>
      <c r="C130" s="175" t="s">
        <v>1605</v>
      </c>
      <c r="D130" s="175" t="s">
        <v>1606</v>
      </c>
      <c r="E130" s="174">
        <v>0</v>
      </c>
      <c r="F130" s="174">
        <v>9229.01</v>
      </c>
      <c r="G130" s="175">
        <f t="shared" si="30"/>
        <v>9229.01</v>
      </c>
      <c r="H130" s="174">
        <v>0</v>
      </c>
      <c r="I130" s="174">
        <v>0</v>
      </c>
      <c r="J130" s="174">
        <v>0</v>
      </c>
      <c r="K130" s="174">
        <v>0</v>
      </c>
      <c r="L130" s="174">
        <f t="shared" si="31"/>
        <v>0</v>
      </c>
      <c r="M130" s="174">
        <v>0</v>
      </c>
      <c r="N130" s="174">
        <v>0</v>
      </c>
      <c r="O130" s="174">
        <v>0</v>
      </c>
      <c r="P130" s="174">
        <f t="shared" si="32"/>
        <v>0</v>
      </c>
      <c r="Q130" s="175">
        <v>0</v>
      </c>
      <c r="R130" s="175">
        <v>0</v>
      </c>
      <c r="S130" s="175">
        <v>0</v>
      </c>
      <c r="T130" s="175">
        <v>0</v>
      </c>
      <c r="U130" s="175">
        <f t="shared" si="33"/>
        <v>0</v>
      </c>
      <c r="V130" s="175">
        <f t="shared" si="34"/>
        <v>9229.01</v>
      </c>
      <c r="W130" s="174">
        <v>0</v>
      </c>
      <c r="X130" s="174">
        <f t="shared" si="35"/>
        <v>9229.01</v>
      </c>
      <c r="Y130" s="175">
        <v>0</v>
      </c>
      <c r="Z130" s="174">
        <f t="shared" si="36"/>
        <v>9229.01</v>
      </c>
    </row>
    <row r="131" spans="1:26" ht="12.75" hidden="1" outlineLevel="1">
      <c r="A131" s="174" t="s">
        <v>1607</v>
      </c>
      <c r="C131" s="175" t="s">
        <v>1608</v>
      </c>
      <c r="D131" s="175" t="s">
        <v>1609</v>
      </c>
      <c r="E131" s="174">
        <v>0</v>
      </c>
      <c r="F131" s="174">
        <v>242126.46</v>
      </c>
      <c r="G131" s="175">
        <f t="shared" si="30"/>
        <v>242126.46</v>
      </c>
      <c r="H131" s="174">
        <v>14948.48</v>
      </c>
      <c r="I131" s="174">
        <v>0</v>
      </c>
      <c r="J131" s="174">
        <v>0</v>
      </c>
      <c r="K131" s="174">
        <v>0</v>
      </c>
      <c r="L131" s="174">
        <f t="shared" si="31"/>
        <v>0</v>
      </c>
      <c r="M131" s="174">
        <v>0</v>
      </c>
      <c r="N131" s="174">
        <v>-59.78</v>
      </c>
      <c r="O131" s="174">
        <v>0</v>
      </c>
      <c r="P131" s="174">
        <f t="shared" si="32"/>
        <v>-59.78</v>
      </c>
      <c r="Q131" s="175">
        <v>0</v>
      </c>
      <c r="R131" s="175">
        <v>0</v>
      </c>
      <c r="S131" s="175">
        <v>0</v>
      </c>
      <c r="T131" s="175">
        <v>0</v>
      </c>
      <c r="U131" s="175">
        <f t="shared" si="33"/>
        <v>0</v>
      </c>
      <c r="V131" s="175">
        <f t="shared" si="34"/>
        <v>257015.16</v>
      </c>
      <c r="W131" s="174">
        <v>0</v>
      </c>
      <c r="X131" s="174">
        <f t="shared" si="35"/>
        <v>257015.16</v>
      </c>
      <c r="Y131" s="175">
        <v>0</v>
      </c>
      <c r="Z131" s="174">
        <f t="shared" si="36"/>
        <v>257015.16</v>
      </c>
    </row>
    <row r="132" spans="1:26" ht="12.75" hidden="1" outlineLevel="1">
      <c r="A132" s="174" t="s">
        <v>1610</v>
      </c>
      <c r="C132" s="175" t="s">
        <v>1611</v>
      </c>
      <c r="D132" s="175" t="s">
        <v>1612</v>
      </c>
      <c r="E132" s="174">
        <v>0</v>
      </c>
      <c r="F132" s="174">
        <v>0</v>
      </c>
      <c r="G132" s="175">
        <f t="shared" si="30"/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f t="shared" si="31"/>
        <v>0</v>
      </c>
      <c r="M132" s="174">
        <v>0</v>
      </c>
      <c r="N132" s="174">
        <v>0</v>
      </c>
      <c r="O132" s="174">
        <v>0</v>
      </c>
      <c r="P132" s="174">
        <f t="shared" si="32"/>
        <v>0</v>
      </c>
      <c r="Q132" s="175">
        <v>0</v>
      </c>
      <c r="R132" s="175">
        <v>0</v>
      </c>
      <c r="S132" s="175">
        <v>0</v>
      </c>
      <c r="T132" s="175">
        <v>0</v>
      </c>
      <c r="U132" s="175">
        <f t="shared" si="33"/>
        <v>0</v>
      </c>
      <c r="V132" s="175">
        <f t="shared" si="34"/>
        <v>0</v>
      </c>
      <c r="W132" s="174">
        <v>0</v>
      </c>
      <c r="X132" s="174">
        <f t="shared" si="35"/>
        <v>0</v>
      </c>
      <c r="Y132" s="175">
        <v>338.41</v>
      </c>
      <c r="Z132" s="174">
        <f t="shared" si="36"/>
        <v>338.41</v>
      </c>
    </row>
    <row r="133" spans="1:26" ht="12.75" hidden="1" outlineLevel="1">
      <c r="A133" s="174" t="s">
        <v>1613</v>
      </c>
      <c r="C133" s="175" t="s">
        <v>1614</v>
      </c>
      <c r="D133" s="175" t="s">
        <v>1615</v>
      </c>
      <c r="E133" s="174">
        <v>0</v>
      </c>
      <c r="F133" s="174">
        <v>122217.07</v>
      </c>
      <c r="G133" s="175">
        <f t="shared" si="30"/>
        <v>122217.07</v>
      </c>
      <c r="H133" s="174">
        <v>14051.01</v>
      </c>
      <c r="I133" s="174">
        <v>0</v>
      </c>
      <c r="J133" s="174">
        <v>0</v>
      </c>
      <c r="K133" s="174">
        <v>0</v>
      </c>
      <c r="L133" s="174">
        <f t="shared" si="31"/>
        <v>0</v>
      </c>
      <c r="M133" s="174">
        <v>0</v>
      </c>
      <c r="N133" s="174">
        <v>0</v>
      </c>
      <c r="O133" s="174">
        <v>0</v>
      </c>
      <c r="P133" s="174">
        <f t="shared" si="32"/>
        <v>0</v>
      </c>
      <c r="Q133" s="175">
        <v>0</v>
      </c>
      <c r="R133" s="175">
        <v>0</v>
      </c>
      <c r="S133" s="175">
        <v>0</v>
      </c>
      <c r="T133" s="175">
        <v>0</v>
      </c>
      <c r="U133" s="175">
        <f t="shared" si="33"/>
        <v>0</v>
      </c>
      <c r="V133" s="175">
        <f t="shared" si="34"/>
        <v>136268.08000000002</v>
      </c>
      <c r="W133" s="174">
        <v>0</v>
      </c>
      <c r="X133" s="174">
        <f t="shared" si="35"/>
        <v>136268.08000000002</v>
      </c>
      <c r="Y133" s="175">
        <v>104.9</v>
      </c>
      <c r="Z133" s="174">
        <f t="shared" si="36"/>
        <v>136372.98</v>
      </c>
    </row>
    <row r="134" spans="1:26" ht="12.75" hidden="1" outlineLevel="1">
      <c r="A134" s="174" t="s">
        <v>1616</v>
      </c>
      <c r="C134" s="175" t="s">
        <v>1617</v>
      </c>
      <c r="D134" s="175" t="s">
        <v>1618</v>
      </c>
      <c r="E134" s="174">
        <v>0</v>
      </c>
      <c r="F134" s="174">
        <v>43836.27</v>
      </c>
      <c r="G134" s="175">
        <f t="shared" si="30"/>
        <v>43836.27</v>
      </c>
      <c r="H134" s="174">
        <v>10683.68</v>
      </c>
      <c r="I134" s="174">
        <v>0</v>
      </c>
      <c r="J134" s="174">
        <v>0</v>
      </c>
      <c r="K134" s="174">
        <v>0</v>
      </c>
      <c r="L134" s="174">
        <f t="shared" si="31"/>
        <v>0</v>
      </c>
      <c r="M134" s="174">
        <v>0</v>
      </c>
      <c r="N134" s="174">
        <v>0</v>
      </c>
      <c r="O134" s="174">
        <v>0</v>
      </c>
      <c r="P134" s="174">
        <f t="shared" si="32"/>
        <v>0</v>
      </c>
      <c r="Q134" s="175">
        <v>0</v>
      </c>
      <c r="R134" s="175">
        <v>0</v>
      </c>
      <c r="S134" s="175">
        <v>0</v>
      </c>
      <c r="T134" s="175">
        <v>0</v>
      </c>
      <c r="U134" s="175">
        <f t="shared" si="33"/>
        <v>0</v>
      </c>
      <c r="V134" s="175">
        <f t="shared" si="34"/>
        <v>54519.95</v>
      </c>
      <c r="W134" s="174">
        <v>0</v>
      </c>
      <c r="X134" s="174">
        <f t="shared" si="35"/>
        <v>54519.95</v>
      </c>
      <c r="Y134" s="175">
        <v>0</v>
      </c>
      <c r="Z134" s="174">
        <f t="shared" si="36"/>
        <v>54519.95</v>
      </c>
    </row>
    <row r="135" spans="1:26" ht="12.75" hidden="1" outlineLevel="1">
      <c r="A135" s="174" t="s">
        <v>1619</v>
      </c>
      <c r="C135" s="175" t="s">
        <v>1620</v>
      </c>
      <c r="D135" s="175" t="s">
        <v>1621</v>
      </c>
      <c r="E135" s="174">
        <v>0</v>
      </c>
      <c r="F135" s="174">
        <v>4578.68</v>
      </c>
      <c r="G135" s="175">
        <f t="shared" si="30"/>
        <v>4578.68</v>
      </c>
      <c r="H135" s="174">
        <v>0</v>
      </c>
      <c r="I135" s="174">
        <v>0</v>
      </c>
      <c r="J135" s="174">
        <v>0</v>
      </c>
      <c r="K135" s="174">
        <v>0</v>
      </c>
      <c r="L135" s="174">
        <f t="shared" si="31"/>
        <v>0</v>
      </c>
      <c r="M135" s="174">
        <v>0</v>
      </c>
      <c r="N135" s="174">
        <v>0</v>
      </c>
      <c r="O135" s="174">
        <v>0</v>
      </c>
      <c r="P135" s="174">
        <f t="shared" si="32"/>
        <v>0</v>
      </c>
      <c r="Q135" s="175">
        <v>0</v>
      </c>
      <c r="R135" s="175">
        <v>0</v>
      </c>
      <c r="S135" s="175">
        <v>0</v>
      </c>
      <c r="T135" s="175">
        <v>0</v>
      </c>
      <c r="U135" s="175">
        <f t="shared" si="33"/>
        <v>0</v>
      </c>
      <c r="V135" s="175">
        <f t="shared" si="34"/>
        <v>4578.68</v>
      </c>
      <c r="W135" s="174">
        <v>0</v>
      </c>
      <c r="X135" s="174">
        <f t="shared" si="35"/>
        <v>4578.68</v>
      </c>
      <c r="Y135" s="175">
        <v>0</v>
      </c>
      <c r="Z135" s="174">
        <f t="shared" si="36"/>
        <v>4578.68</v>
      </c>
    </row>
    <row r="136" spans="1:26" ht="12.75" hidden="1" outlineLevel="1">
      <c r="A136" s="174" t="s">
        <v>1622</v>
      </c>
      <c r="C136" s="175" t="s">
        <v>1623</v>
      </c>
      <c r="D136" s="175" t="s">
        <v>1624</v>
      </c>
      <c r="E136" s="174">
        <v>0</v>
      </c>
      <c r="F136" s="174">
        <v>31220.2</v>
      </c>
      <c r="G136" s="175">
        <f t="shared" si="30"/>
        <v>31220.2</v>
      </c>
      <c r="H136" s="174">
        <v>9203.69</v>
      </c>
      <c r="I136" s="174">
        <v>0</v>
      </c>
      <c r="J136" s="174">
        <v>0</v>
      </c>
      <c r="K136" s="174">
        <v>0</v>
      </c>
      <c r="L136" s="174">
        <f t="shared" si="31"/>
        <v>0</v>
      </c>
      <c r="M136" s="174">
        <v>0</v>
      </c>
      <c r="N136" s="174">
        <v>0</v>
      </c>
      <c r="O136" s="174">
        <v>0</v>
      </c>
      <c r="P136" s="174">
        <f t="shared" si="32"/>
        <v>0</v>
      </c>
      <c r="Q136" s="175">
        <v>0</v>
      </c>
      <c r="R136" s="175">
        <v>0</v>
      </c>
      <c r="S136" s="175">
        <v>0</v>
      </c>
      <c r="T136" s="175">
        <v>0</v>
      </c>
      <c r="U136" s="175">
        <f t="shared" si="33"/>
        <v>0</v>
      </c>
      <c r="V136" s="175">
        <f t="shared" si="34"/>
        <v>40423.89</v>
      </c>
      <c r="W136" s="174">
        <v>0</v>
      </c>
      <c r="X136" s="174">
        <f t="shared" si="35"/>
        <v>40423.89</v>
      </c>
      <c r="Y136" s="175">
        <v>0</v>
      </c>
      <c r="Z136" s="174">
        <f t="shared" si="36"/>
        <v>40423.89</v>
      </c>
    </row>
    <row r="137" spans="1:26" ht="12.75" hidden="1" outlineLevel="1">
      <c r="A137" s="174" t="s">
        <v>1625</v>
      </c>
      <c r="C137" s="175" t="s">
        <v>1626</v>
      </c>
      <c r="D137" s="175" t="s">
        <v>1627</v>
      </c>
      <c r="E137" s="174">
        <v>0</v>
      </c>
      <c r="F137" s="174">
        <v>14578.05</v>
      </c>
      <c r="G137" s="175">
        <f t="shared" si="30"/>
        <v>14578.05</v>
      </c>
      <c r="H137" s="174">
        <v>-212.78</v>
      </c>
      <c r="I137" s="174">
        <v>0</v>
      </c>
      <c r="J137" s="174">
        <v>0</v>
      </c>
      <c r="K137" s="174">
        <v>0</v>
      </c>
      <c r="L137" s="174">
        <f t="shared" si="31"/>
        <v>0</v>
      </c>
      <c r="M137" s="174">
        <v>0</v>
      </c>
      <c r="N137" s="174">
        <v>0</v>
      </c>
      <c r="O137" s="174">
        <v>0</v>
      </c>
      <c r="P137" s="174">
        <f t="shared" si="32"/>
        <v>0</v>
      </c>
      <c r="Q137" s="175">
        <v>0</v>
      </c>
      <c r="R137" s="175">
        <v>0</v>
      </c>
      <c r="S137" s="175">
        <v>0</v>
      </c>
      <c r="T137" s="175">
        <v>0</v>
      </c>
      <c r="U137" s="175">
        <f t="shared" si="33"/>
        <v>0</v>
      </c>
      <c r="V137" s="175">
        <f t="shared" si="34"/>
        <v>14365.269999999999</v>
      </c>
      <c r="W137" s="174">
        <v>0</v>
      </c>
      <c r="X137" s="174">
        <f t="shared" si="35"/>
        <v>14365.269999999999</v>
      </c>
      <c r="Y137" s="175">
        <v>0</v>
      </c>
      <c r="Z137" s="174">
        <f t="shared" si="36"/>
        <v>14365.269999999999</v>
      </c>
    </row>
    <row r="138" spans="1:26" ht="12.75" hidden="1" outlineLevel="1">
      <c r="A138" s="174" t="s">
        <v>1628</v>
      </c>
      <c r="C138" s="175" t="s">
        <v>1629</v>
      </c>
      <c r="D138" s="175" t="s">
        <v>1630</v>
      </c>
      <c r="E138" s="174">
        <v>0</v>
      </c>
      <c r="F138" s="174">
        <v>662586.56</v>
      </c>
      <c r="G138" s="175">
        <f t="shared" si="30"/>
        <v>662586.56</v>
      </c>
      <c r="H138" s="174">
        <v>1351.91</v>
      </c>
      <c r="I138" s="174">
        <v>0</v>
      </c>
      <c r="J138" s="174">
        <v>0</v>
      </c>
      <c r="K138" s="174">
        <v>0</v>
      </c>
      <c r="L138" s="174">
        <f t="shared" si="31"/>
        <v>0</v>
      </c>
      <c r="M138" s="174">
        <v>0</v>
      </c>
      <c r="N138" s="174">
        <v>0</v>
      </c>
      <c r="O138" s="174">
        <v>0</v>
      </c>
      <c r="P138" s="174">
        <f t="shared" si="32"/>
        <v>0</v>
      </c>
      <c r="Q138" s="175">
        <v>-45010.81</v>
      </c>
      <c r="R138" s="175">
        <v>-13146.27</v>
      </c>
      <c r="S138" s="175">
        <v>0</v>
      </c>
      <c r="T138" s="175">
        <v>0</v>
      </c>
      <c r="U138" s="175">
        <f t="shared" si="33"/>
        <v>-58157.08</v>
      </c>
      <c r="V138" s="175">
        <f t="shared" si="34"/>
        <v>605781.3900000001</v>
      </c>
      <c r="W138" s="174">
        <v>0</v>
      </c>
      <c r="X138" s="174">
        <f t="shared" si="35"/>
        <v>605781.3900000001</v>
      </c>
      <c r="Y138" s="175">
        <v>0</v>
      </c>
      <c r="Z138" s="174">
        <f t="shared" si="36"/>
        <v>605781.3900000001</v>
      </c>
    </row>
    <row r="139" spans="1:26" ht="12.75" hidden="1" outlineLevel="1">
      <c r="A139" s="174" t="s">
        <v>1631</v>
      </c>
      <c r="C139" s="175" t="s">
        <v>1632</v>
      </c>
      <c r="D139" s="175" t="s">
        <v>1633</v>
      </c>
      <c r="E139" s="174">
        <v>0</v>
      </c>
      <c r="F139" s="174">
        <v>2141.43</v>
      </c>
      <c r="G139" s="175">
        <f t="shared" si="30"/>
        <v>2141.43</v>
      </c>
      <c r="H139" s="174">
        <v>0</v>
      </c>
      <c r="I139" s="174">
        <v>0</v>
      </c>
      <c r="J139" s="174">
        <v>0</v>
      </c>
      <c r="K139" s="174">
        <v>0</v>
      </c>
      <c r="L139" s="174">
        <f t="shared" si="31"/>
        <v>0</v>
      </c>
      <c r="M139" s="174">
        <v>0</v>
      </c>
      <c r="N139" s="174">
        <v>0</v>
      </c>
      <c r="O139" s="174">
        <v>0</v>
      </c>
      <c r="P139" s="174">
        <f t="shared" si="32"/>
        <v>0</v>
      </c>
      <c r="Q139" s="175">
        <v>0</v>
      </c>
      <c r="R139" s="175">
        <v>0</v>
      </c>
      <c r="S139" s="175">
        <v>0</v>
      </c>
      <c r="T139" s="175">
        <v>0</v>
      </c>
      <c r="U139" s="175">
        <f t="shared" si="33"/>
        <v>0</v>
      </c>
      <c r="V139" s="175">
        <f t="shared" si="34"/>
        <v>2141.43</v>
      </c>
      <c r="W139" s="174">
        <v>0</v>
      </c>
      <c r="X139" s="174">
        <f t="shared" si="35"/>
        <v>2141.43</v>
      </c>
      <c r="Y139" s="175">
        <v>0</v>
      </c>
      <c r="Z139" s="174">
        <f t="shared" si="36"/>
        <v>2141.43</v>
      </c>
    </row>
    <row r="140" spans="1:26" ht="12.75" hidden="1" outlineLevel="1">
      <c r="A140" s="174" t="s">
        <v>1634</v>
      </c>
      <c r="C140" s="175" t="s">
        <v>1635</v>
      </c>
      <c r="D140" s="175" t="s">
        <v>1636</v>
      </c>
      <c r="E140" s="174">
        <v>0</v>
      </c>
      <c r="F140" s="174">
        <v>78175.82</v>
      </c>
      <c r="G140" s="175">
        <f t="shared" si="30"/>
        <v>78175.82</v>
      </c>
      <c r="H140" s="174">
        <v>22693.15</v>
      </c>
      <c r="I140" s="174">
        <v>0</v>
      </c>
      <c r="J140" s="174">
        <v>0</v>
      </c>
      <c r="K140" s="174">
        <v>0</v>
      </c>
      <c r="L140" s="174">
        <f t="shared" si="31"/>
        <v>0</v>
      </c>
      <c r="M140" s="174">
        <v>0</v>
      </c>
      <c r="N140" s="174">
        <v>0</v>
      </c>
      <c r="O140" s="174">
        <v>0</v>
      </c>
      <c r="P140" s="174">
        <f t="shared" si="32"/>
        <v>0</v>
      </c>
      <c r="Q140" s="175">
        <v>0</v>
      </c>
      <c r="R140" s="175">
        <v>0</v>
      </c>
      <c r="S140" s="175">
        <v>0</v>
      </c>
      <c r="T140" s="175">
        <v>0</v>
      </c>
      <c r="U140" s="175">
        <f t="shared" si="33"/>
        <v>0</v>
      </c>
      <c r="V140" s="175">
        <f t="shared" si="34"/>
        <v>100868.97</v>
      </c>
      <c r="W140" s="174">
        <v>0</v>
      </c>
      <c r="X140" s="174">
        <f t="shared" si="35"/>
        <v>100868.97</v>
      </c>
      <c r="Y140" s="175">
        <v>169.75</v>
      </c>
      <c r="Z140" s="174">
        <f t="shared" si="36"/>
        <v>101038.72</v>
      </c>
    </row>
    <row r="141" spans="1:26" ht="12.75" hidden="1" outlineLevel="1">
      <c r="A141" s="174" t="s">
        <v>1637</v>
      </c>
      <c r="C141" s="175" t="s">
        <v>1638</v>
      </c>
      <c r="D141" s="175" t="s">
        <v>1639</v>
      </c>
      <c r="E141" s="174">
        <v>0</v>
      </c>
      <c r="F141" s="174">
        <v>404369.05</v>
      </c>
      <c r="G141" s="175">
        <f t="shared" si="30"/>
        <v>404369.05</v>
      </c>
      <c r="H141" s="174">
        <v>74409.98</v>
      </c>
      <c r="I141" s="174">
        <v>0</v>
      </c>
      <c r="J141" s="174">
        <v>0</v>
      </c>
      <c r="K141" s="174">
        <v>0</v>
      </c>
      <c r="L141" s="174">
        <f t="shared" si="31"/>
        <v>0</v>
      </c>
      <c r="M141" s="174">
        <v>0</v>
      </c>
      <c r="N141" s="174">
        <v>0</v>
      </c>
      <c r="O141" s="174">
        <v>0</v>
      </c>
      <c r="P141" s="174">
        <f t="shared" si="32"/>
        <v>0</v>
      </c>
      <c r="Q141" s="175">
        <v>0</v>
      </c>
      <c r="R141" s="175">
        <v>713</v>
      </c>
      <c r="S141" s="175">
        <v>0</v>
      </c>
      <c r="T141" s="175">
        <v>0</v>
      </c>
      <c r="U141" s="175">
        <f t="shared" si="33"/>
        <v>713</v>
      </c>
      <c r="V141" s="175">
        <f t="shared" si="34"/>
        <v>479492.02999999997</v>
      </c>
      <c r="W141" s="174">
        <v>0</v>
      </c>
      <c r="X141" s="174">
        <f t="shared" si="35"/>
        <v>479492.02999999997</v>
      </c>
      <c r="Y141" s="175">
        <v>2114.85</v>
      </c>
      <c r="Z141" s="174">
        <f t="shared" si="36"/>
        <v>481606.87999999995</v>
      </c>
    </row>
    <row r="142" spans="1:26" ht="12.75" hidden="1" outlineLevel="1">
      <c r="A142" s="174" t="s">
        <v>1640</v>
      </c>
      <c r="C142" s="175" t="s">
        <v>1641</v>
      </c>
      <c r="D142" s="175" t="s">
        <v>1642</v>
      </c>
      <c r="E142" s="174">
        <v>0</v>
      </c>
      <c r="F142" s="174">
        <v>125713.15</v>
      </c>
      <c r="G142" s="175">
        <f t="shared" si="30"/>
        <v>125713.15</v>
      </c>
      <c r="H142" s="174">
        <v>56268.94</v>
      </c>
      <c r="I142" s="174">
        <v>0</v>
      </c>
      <c r="J142" s="174">
        <v>0</v>
      </c>
      <c r="K142" s="174">
        <v>0</v>
      </c>
      <c r="L142" s="174">
        <f t="shared" si="31"/>
        <v>0</v>
      </c>
      <c r="M142" s="174">
        <v>0</v>
      </c>
      <c r="N142" s="174">
        <v>0</v>
      </c>
      <c r="O142" s="174">
        <v>0</v>
      </c>
      <c r="P142" s="174">
        <f t="shared" si="32"/>
        <v>0</v>
      </c>
      <c r="Q142" s="175">
        <v>0</v>
      </c>
      <c r="R142" s="175">
        <v>0</v>
      </c>
      <c r="S142" s="175">
        <v>0</v>
      </c>
      <c r="T142" s="175">
        <v>0</v>
      </c>
      <c r="U142" s="175">
        <f t="shared" si="33"/>
        <v>0</v>
      </c>
      <c r="V142" s="175">
        <f t="shared" si="34"/>
        <v>181982.09</v>
      </c>
      <c r="W142" s="174">
        <v>0</v>
      </c>
      <c r="X142" s="174">
        <f t="shared" si="35"/>
        <v>181982.09</v>
      </c>
      <c r="Y142" s="175">
        <v>2151.37</v>
      </c>
      <c r="Z142" s="174">
        <f t="shared" si="36"/>
        <v>184133.46</v>
      </c>
    </row>
    <row r="143" spans="1:26" ht="12.75" hidden="1" outlineLevel="1">
      <c r="A143" s="174" t="s">
        <v>1643</v>
      </c>
      <c r="C143" s="175" t="s">
        <v>1644</v>
      </c>
      <c r="D143" s="175" t="s">
        <v>1645</v>
      </c>
      <c r="E143" s="174">
        <v>0</v>
      </c>
      <c r="F143" s="174">
        <v>6427.52</v>
      </c>
      <c r="G143" s="175">
        <f t="shared" si="30"/>
        <v>6427.52</v>
      </c>
      <c r="H143" s="174">
        <v>0</v>
      </c>
      <c r="I143" s="174">
        <v>0</v>
      </c>
      <c r="J143" s="174">
        <v>0</v>
      </c>
      <c r="K143" s="174">
        <v>0</v>
      </c>
      <c r="L143" s="174">
        <f t="shared" si="31"/>
        <v>0</v>
      </c>
      <c r="M143" s="174">
        <v>0</v>
      </c>
      <c r="N143" s="174">
        <v>0</v>
      </c>
      <c r="O143" s="174">
        <v>0</v>
      </c>
      <c r="P143" s="174">
        <f t="shared" si="32"/>
        <v>0</v>
      </c>
      <c r="Q143" s="175">
        <v>0</v>
      </c>
      <c r="R143" s="175">
        <v>0</v>
      </c>
      <c r="S143" s="175">
        <v>0</v>
      </c>
      <c r="T143" s="175">
        <v>0</v>
      </c>
      <c r="U143" s="175">
        <f t="shared" si="33"/>
        <v>0</v>
      </c>
      <c r="V143" s="175">
        <f t="shared" si="34"/>
        <v>6427.52</v>
      </c>
      <c r="W143" s="174">
        <v>0</v>
      </c>
      <c r="X143" s="174">
        <f t="shared" si="35"/>
        <v>6427.52</v>
      </c>
      <c r="Y143" s="175">
        <v>0</v>
      </c>
      <c r="Z143" s="174">
        <f t="shared" si="36"/>
        <v>6427.52</v>
      </c>
    </row>
    <row r="144" spans="1:26" ht="12.75" hidden="1" outlineLevel="1">
      <c r="A144" s="174" t="s">
        <v>1646</v>
      </c>
      <c r="C144" s="175" t="s">
        <v>1647</v>
      </c>
      <c r="D144" s="175" t="s">
        <v>1648</v>
      </c>
      <c r="E144" s="174">
        <v>0</v>
      </c>
      <c r="F144" s="174">
        <v>3949251.54</v>
      </c>
      <c r="G144" s="175">
        <f t="shared" si="30"/>
        <v>3949251.54</v>
      </c>
      <c r="H144" s="174">
        <v>1651169.61</v>
      </c>
      <c r="I144" s="174">
        <v>0</v>
      </c>
      <c r="J144" s="174">
        <v>0</v>
      </c>
      <c r="K144" s="174">
        <v>0</v>
      </c>
      <c r="L144" s="174">
        <f t="shared" si="31"/>
        <v>0</v>
      </c>
      <c r="M144" s="174">
        <v>0</v>
      </c>
      <c r="N144" s="174">
        <v>613.42</v>
      </c>
      <c r="O144" s="174">
        <v>791.34</v>
      </c>
      <c r="P144" s="174">
        <f t="shared" si="32"/>
        <v>1404.76</v>
      </c>
      <c r="Q144" s="175">
        <v>359.09</v>
      </c>
      <c r="R144" s="175">
        <v>18103.58</v>
      </c>
      <c r="S144" s="175">
        <v>0</v>
      </c>
      <c r="T144" s="175">
        <v>0</v>
      </c>
      <c r="U144" s="175">
        <f t="shared" si="33"/>
        <v>18462.670000000002</v>
      </c>
      <c r="V144" s="175">
        <f t="shared" si="34"/>
        <v>5620288.58</v>
      </c>
      <c r="W144" s="174">
        <v>0</v>
      </c>
      <c r="X144" s="174">
        <f t="shared" si="35"/>
        <v>5620288.58</v>
      </c>
      <c r="Y144" s="175">
        <v>76332.46</v>
      </c>
      <c r="Z144" s="174">
        <f t="shared" si="36"/>
        <v>5696621.04</v>
      </c>
    </row>
    <row r="145" spans="1:26" ht="12.75" hidden="1" outlineLevel="1">
      <c r="A145" s="174" t="s">
        <v>1649</v>
      </c>
      <c r="C145" s="175" t="s">
        <v>1650</v>
      </c>
      <c r="D145" s="175" t="s">
        <v>1651</v>
      </c>
      <c r="E145" s="174">
        <v>0</v>
      </c>
      <c r="F145" s="174">
        <v>253898.01</v>
      </c>
      <c r="G145" s="175">
        <f t="shared" si="30"/>
        <v>253898.01</v>
      </c>
      <c r="H145" s="174">
        <v>39305.06</v>
      </c>
      <c r="I145" s="174">
        <v>0</v>
      </c>
      <c r="J145" s="174">
        <v>0</v>
      </c>
      <c r="K145" s="174">
        <v>0</v>
      </c>
      <c r="L145" s="174">
        <f t="shared" si="31"/>
        <v>0</v>
      </c>
      <c r="M145" s="174">
        <v>0</v>
      </c>
      <c r="N145" s="174">
        <v>0</v>
      </c>
      <c r="O145" s="174">
        <v>0</v>
      </c>
      <c r="P145" s="174">
        <f t="shared" si="32"/>
        <v>0</v>
      </c>
      <c r="Q145" s="175">
        <v>0</v>
      </c>
      <c r="R145" s="175">
        <v>0</v>
      </c>
      <c r="S145" s="175">
        <v>0</v>
      </c>
      <c r="T145" s="175">
        <v>0</v>
      </c>
      <c r="U145" s="175">
        <f t="shared" si="33"/>
        <v>0</v>
      </c>
      <c r="V145" s="175">
        <f t="shared" si="34"/>
        <v>293203.07</v>
      </c>
      <c r="W145" s="174">
        <v>0</v>
      </c>
      <c r="X145" s="174">
        <f t="shared" si="35"/>
        <v>293203.07</v>
      </c>
      <c r="Y145" s="175">
        <v>2472.91</v>
      </c>
      <c r="Z145" s="174">
        <f t="shared" si="36"/>
        <v>295675.98</v>
      </c>
    </row>
    <row r="146" spans="1:26" ht="12.75" hidden="1" outlineLevel="1">
      <c r="A146" s="174" t="s">
        <v>1652</v>
      </c>
      <c r="C146" s="175" t="s">
        <v>1653</v>
      </c>
      <c r="D146" s="175" t="s">
        <v>1654</v>
      </c>
      <c r="E146" s="174">
        <v>0</v>
      </c>
      <c r="F146" s="174">
        <v>0</v>
      </c>
      <c r="G146" s="175">
        <f t="shared" si="30"/>
        <v>0</v>
      </c>
      <c r="H146" s="174">
        <v>100</v>
      </c>
      <c r="I146" s="174">
        <v>0</v>
      </c>
      <c r="J146" s="174">
        <v>0</v>
      </c>
      <c r="K146" s="174">
        <v>0</v>
      </c>
      <c r="L146" s="174">
        <f t="shared" si="31"/>
        <v>0</v>
      </c>
      <c r="M146" s="174">
        <v>0</v>
      </c>
      <c r="N146" s="174">
        <v>0</v>
      </c>
      <c r="O146" s="174">
        <v>0</v>
      </c>
      <c r="P146" s="174">
        <f t="shared" si="32"/>
        <v>0</v>
      </c>
      <c r="Q146" s="175">
        <v>0</v>
      </c>
      <c r="R146" s="175">
        <v>0</v>
      </c>
      <c r="S146" s="175">
        <v>0</v>
      </c>
      <c r="T146" s="175">
        <v>0</v>
      </c>
      <c r="U146" s="175">
        <f t="shared" si="33"/>
        <v>0</v>
      </c>
      <c r="V146" s="175">
        <f t="shared" si="34"/>
        <v>100</v>
      </c>
      <c r="W146" s="174">
        <v>0</v>
      </c>
      <c r="X146" s="174">
        <f t="shared" si="35"/>
        <v>100</v>
      </c>
      <c r="Y146" s="175">
        <v>0</v>
      </c>
      <c r="Z146" s="174">
        <f t="shared" si="36"/>
        <v>100</v>
      </c>
    </row>
    <row r="147" spans="1:26" ht="12.75" hidden="1" outlineLevel="1">
      <c r="A147" s="174" t="s">
        <v>1655</v>
      </c>
      <c r="C147" s="175" t="s">
        <v>1656</v>
      </c>
      <c r="D147" s="175" t="s">
        <v>1657</v>
      </c>
      <c r="E147" s="174">
        <v>0</v>
      </c>
      <c r="F147" s="174">
        <v>8246.91</v>
      </c>
      <c r="G147" s="175">
        <f t="shared" si="30"/>
        <v>8246.91</v>
      </c>
      <c r="H147" s="174">
        <v>17179.01</v>
      </c>
      <c r="I147" s="174">
        <v>0</v>
      </c>
      <c r="J147" s="174">
        <v>0</v>
      </c>
      <c r="K147" s="174">
        <v>0</v>
      </c>
      <c r="L147" s="174">
        <f t="shared" si="31"/>
        <v>0</v>
      </c>
      <c r="M147" s="174">
        <v>0</v>
      </c>
      <c r="N147" s="174">
        <v>0</v>
      </c>
      <c r="O147" s="174">
        <v>0</v>
      </c>
      <c r="P147" s="174">
        <f t="shared" si="32"/>
        <v>0</v>
      </c>
      <c r="Q147" s="175">
        <v>0</v>
      </c>
      <c r="R147" s="175">
        <v>0</v>
      </c>
      <c r="S147" s="175">
        <v>0</v>
      </c>
      <c r="T147" s="175">
        <v>0</v>
      </c>
      <c r="U147" s="175">
        <f t="shared" si="33"/>
        <v>0</v>
      </c>
      <c r="V147" s="175">
        <f t="shared" si="34"/>
        <v>25425.92</v>
      </c>
      <c r="W147" s="174">
        <v>0</v>
      </c>
      <c r="X147" s="174">
        <f t="shared" si="35"/>
        <v>25425.92</v>
      </c>
      <c r="Y147" s="175">
        <v>0</v>
      </c>
      <c r="Z147" s="174">
        <f t="shared" si="36"/>
        <v>25425.92</v>
      </c>
    </row>
    <row r="148" spans="1:26" ht="12.75" hidden="1" outlineLevel="1">
      <c r="A148" s="174" t="s">
        <v>1658</v>
      </c>
      <c r="C148" s="175" t="s">
        <v>1659</v>
      </c>
      <c r="D148" s="175" t="s">
        <v>1660</v>
      </c>
      <c r="E148" s="174">
        <v>0</v>
      </c>
      <c r="F148" s="174">
        <v>275.12</v>
      </c>
      <c r="G148" s="175">
        <f t="shared" si="30"/>
        <v>275.12</v>
      </c>
      <c r="H148" s="174">
        <v>87.75</v>
      </c>
      <c r="I148" s="174">
        <v>0</v>
      </c>
      <c r="J148" s="174">
        <v>0</v>
      </c>
      <c r="K148" s="174">
        <v>0</v>
      </c>
      <c r="L148" s="174">
        <f t="shared" si="31"/>
        <v>0</v>
      </c>
      <c r="M148" s="174">
        <v>0</v>
      </c>
      <c r="N148" s="174">
        <v>0</v>
      </c>
      <c r="O148" s="174">
        <v>0</v>
      </c>
      <c r="P148" s="174">
        <f t="shared" si="32"/>
        <v>0</v>
      </c>
      <c r="Q148" s="175">
        <v>0</v>
      </c>
      <c r="R148" s="175">
        <v>0</v>
      </c>
      <c r="S148" s="175">
        <v>0</v>
      </c>
      <c r="T148" s="175">
        <v>0</v>
      </c>
      <c r="U148" s="175">
        <f t="shared" si="33"/>
        <v>0</v>
      </c>
      <c r="V148" s="175">
        <f t="shared" si="34"/>
        <v>362.87</v>
      </c>
      <c r="W148" s="174">
        <v>0</v>
      </c>
      <c r="X148" s="174">
        <f t="shared" si="35"/>
        <v>362.87</v>
      </c>
      <c r="Y148" s="175">
        <v>0</v>
      </c>
      <c r="Z148" s="174">
        <f t="shared" si="36"/>
        <v>362.87</v>
      </c>
    </row>
    <row r="149" spans="1:26" ht="12.75" hidden="1" outlineLevel="1">
      <c r="A149" s="174" t="s">
        <v>1661</v>
      </c>
      <c r="C149" s="175" t="s">
        <v>1662</v>
      </c>
      <c r="D149" s="175" t="s">
        <v>1663</v>
      </c>
      <c r="E149" s="174">
        <v>0</v>
      </c>
      <c r="F149" s="174">
        <v>97742.67</v>
      </c>
      <c r="G149" s="175">
        <f t="shared" si="30"/>
        <v>97742.67</v>
      </c>
      <c r="H149" s="174">
        <v>55660.42</v>
      </c>
      <c r="I149" s="174">
        <v>0</v>
      </c>
      <c r="J149" s="174">
        <v>0</v>
      </c>
      <c r="K149" s="174">
        <v>0</v>
      </c>
      <c r="L149" s="174">
        <f t="shared" si="31"/>
        <v>0</v>
      </c>
      <c r="M149" s="174">
        <v>0</v>
      </c>
      <c r="N149" s="174">
        <v>0</v>
      </c>
      <c r="O149" s="174">
        <v>0</v>
      </c>
      <c r="P149" s="174">
        <f t="shared" si="32"/>
        <v>0</v>
      </c>
      <c r="Q149" s="175">
        <v>0</v>
      </c>
      <c r="R149" s="175">
        <v>0</v>
      </c>
      <c r="S149" s="175">
        <v>0</v>
      </c>
      <c r="T149" s="175">
        <v>0</v>
      </c>
      <c r="U149" s="175">
        <f t="shared" si="33"/>
        <v>0</v>
      </c>
      <c r="V149" s="175">
        <f t="shared" si="34"/>
        <v>153403.09</v>
      </c>
      <c r="W149" s="174">
        <v>0</v>
      </c>
      <c r="X149" s="174">
        <f t="shared" si="35"/>
        <v>153403.09</v>
      </c>
      <c r="Y149" s="175">
        <v>0</v>
      </c>
      <c r="Z149" s="174">
        <f t="shared" si="36"/>
        <v>153403.09</v>
      </c>
    </row>
    <row r="150" spans="1:26" ht="12.75" hidden="1" outlineLevel="1">
      <c r="A150" s="174" t="s">
        <v>1664</v>
      </c>
      <c r="C150" s="175" t="s">
        <v>1665</v>
      </c>
      <c r="D150" s="175" t="s">
        <v>1666</v>
      </c>
      <c r="E150" s="174">
        <v>0</v>
      </c>
      <c r="F150" s="174">
        <v>42265.06</v>
      </c>
      <c r="G150" s="175">
        <f t="shared" si="30"/>
        <v>42265.06</v>
      </c>
      <c r="H150" s="174">
        <v>31957.22</v>
      </c>
      <c r="I150" s="174">
        <v>0</v>
      </c>
      <c r="J150" s="174">
        <v>0</v>
      </c>
      <c r="K150" s="174">
        <v>0</v>
      </c>
      <c r="L150" s="174">
        <f t="shared" si="31"/>
        <v>0</v>
      </c>
      <c r="M150" s="174">
        <v>0</v>
      </c>
      <c r="N150" s="174">
        <v>0</v>
      </c>
      <c r="O150" s="174">
        <v>0</v>
      </c>
      <c r="P150" s="174">
        <f t="shared" si="32"/>
        <v>0</v>
      </c>
      <c r="Q150" s="175">
        <v>0</v>
      </c>
      <c r="R150" s="175">
        <v>0</v>
      </c>
      <c r="S150" s="175">
        <v>0</v>
      </c>
      <c r="T150" s="175">
        <v>0</v>
      </c>
      <c r="U150" s="175">
        <f t="shared" si="33"/>
        <v>0</v>
      </c>
      <c r="V150" s="175">
        <f t="shared" si="34"/>
        <v>74222.28</v>
      </c>
      <c r="W150" s="174">
        <v>0</v>
      </c>
      <c r="X150" s="174">
        <f t="shared" si="35"/>
        <v>74222.28</v>
      </c>
      <c r="Y150" s="175">
        <v>0</v>
      </c>
      <c r="Z150" s="174">
        <f t="shared" si="36"/>
        <v>74222.28</v>
      </c>
    </row>
    <row r="151" spans="1:26" ht="12.75" hidden="1" outlineLevel="1">
      <c r="A151" s="174" t="s">
        <v>1667</v>
      </c>
      <c r="C151" s="175" t="s">
        <v>1668</v>
      </c>
      <c r="D151" s="175" t="s">
        <v>1669</v>
      </c>
      <c r="E151" s="174">
        <v>0</v>
      </c>
      <c r="F151" s="174">
        <v>150674.49</v>
      </c>
      <c r="G151" s="175">
        <f t="shared" si="30"/>
        <v>150674.49</v>
      </c>
      <c r="H151" s="174">
        <v>4337.53</v>
      </c>
      <c r="I151" s="174">
        <v>0</v>
      </c>
      <c r="J151" s="174">
        <v>0</v>
      </c>
      <c r="K151" s="174">
        <v>0</v>
      </c>
      <c r="L151" s="174">
        <f t="shared" si="31"/>
        <v>0</v>
      </c>
      <c r="M151" s="174">
        <v>0</v>
      </c>
      <c r="N151" s="174">
        <v>1750</v>
      </c>
      <c r="O151" s="174">
        <v>0</v>
      </c>
      <c r="P151" s="174">
        <f t="shared" si="32"/>
        <v>1750</v>
      </c>
      <c r="Q151" s="175">
        <v>0</v>
      </c>
      <c r="R151" s="175">
        <v>0</v>
      </c>
      <c r="S151" s="175">
        <v>0</v>
      </c>
      <c r="T151" s="175">
        <v>0</v>
      </c>
      <c r="U151" s="175">
        <f t="shared" si="33"/>
        <v>0</v>
      </c>
      <c r="V151" s="175">
        <f t="shared" si="34"/>
        <v>156762.02</v>
      </c>
      <c r="W151" s="174">
        <v>0</v>
      </c>
      <c r="X151" s="174">
        <f t="shared" si="35"/>
        <v>156762.02</v>
      </c>
      <c r="Y151" s="175">
        <v>216</v>
      </c>
      <c r="Z151" s="174">
        <f t="shared" si="36"/>
        <v>156978.02</v>
      </c>
    </row>
    <row r="152" spans="1:26" ht="12.75" hidden="1" outlineLevel="1">
      <c r="A152" s="174" t="s">
        <v>1670</v>
      </c>
      <c r="C152" s="175" t="s">
        <v>1671</v>
      </c>
      <c r="D152" s="175" t="s">
        <v>1672</v>
      </c>
      <c r="E152" s="174">
        <v>0</v>
      </c>
      <c r="F152" s="174">
        <v>40659.17</v>
      </c>
      <c r="G152" s="175">
        <f t="shared" si="30"/>
        <v>40659.17</v>
      </c>
      <c r="H152" s="174">
        <v>-81.42</v>
      </c>
      <c r="I152" s="174">
        <v>0</v>
      </c>
      <c r="J152" s="174">
        <v>0</v>
      </c>
      <c r="K152" s="174">
        <v>0</v>
      </c>
      <c r="L152" s="174">
        <f t="shared" si="31"/>
        <v>0</v>
      </c>
      <c r="M152" s="174">
        <v>0</v>
      </c>
      <c r="N152" s="174">
        <v>0</v>
      </c>
      <c r="O152" s="174">
        <v>0</v>
      </c>
      <c r="P152" s="174">
        <f t="shared" si="32"/>
        <v>0</v>
      </c>
      <c r="Q152" s="175">
        <v>0</v>
      </c>
      <c r="R152" s="175">
        <v>0</v>
      </c>
      <c r="S152" s="175">
        <v>0</v>
      </c>
      <c r="T152" s="175">
        <v>0</v>
      </c>
      <c r="U152" s="175">
        <f t="shared" si="33"/>
        <v>0</v>
      </c>
      <c r="V152" s="175">
        <f t="shared" si="34"/>
        <v>40577.75</v>
      </c>
      <c r="W152" s="174">
        <v>0</v>
      </c>
      <c r="X152" s="174">
        <f t="shared" si="35"/>
        <v>40577.75</v>
      </c>
      <c r="Y152" s="175">
        <v>0</v>
      </c>
      <c r="Z152" s="174">
        <f t="shared" si="36"/>
        <v>40577.75</v>
      </c>
    </row>
    <row r="153" spans="1:26" ht="12.75" hidden="1" outlineLevel="1">
      <c r="A153" s="174" t="s">
        <v>1673</v>
      </c>
      <c r="C153" s="175" t="s">
        <v>1674</v>
      </c>
      <c r="D153" s="175" t="s">
        <v>1675</v>
      </c>
      <c r="E153" s="174">
        <v>0</v>
      </c>
      <c r="F153" s="174">
        <v>242060.57</v>
      </c>
      <c r="G153" s="175">
        <f t="shared" si="30"/>
        <v>242060.57</v>
      </c>
      <c r="H153" s="174">
        <v>662027.2</v>
      </c>
      <c r="I153" s="174">
        <v>0</v>
      </c>
      <c r="J153" s="174">
        <v>0</v>
      </c>
      <c r="K153" s="174">
        <v>0</v>
      </c>
      <c r="L153" s="174">
        <f t="shared" si="31"/>
        <v>0</v>
      </c>
      <c r="M153" s="174">
        <v>0</v>
      </c>
      <c r="N153" s="174">
        <v>29.77</v>
      </c>
      <c r="O153" s="174">
        <v>0</v>
      </c>
      <c r="P153" s="174">
        <f t="shared" si="32"/>
        <v>29.77</v>
      </c>
      <c r="Q153" s="175">
        <v>0</v>
      </c>
      <c r="R153" s="175">
        <v>0</v>
      </c>
      <c r="S153" s="175">
        <v>0</v>
      </c>
      <c r="T153" s="175">
        <v>0</v>
      </c>
      <c r="U153" s="175">
        <f t="shared" si="33"/>
        <v>0</v>
      </c>
      <c r="V153" s="175">
        <f t="shared" si="34"/>
        <v>904117.54</v>
      </c>
      <c r="W153" s="174">
        <v>0</v>
      </c>
      <c r="X153" s="174">
        <f t="shared" si="35"/>
        <v>904117.54</v>
      </c>
      <c r="Y153" s="175">
        <v>-140</v>
      </c>
      <c r="Z153" s="174">
        <f t="shared" si="36"/>
        <v>903977.54</v>
      </c>
    </row>
    <row r="154" spans="1:26" ht="12.75" hidden="1" outlineLevel="1">
      <c r="A154" s="174" t="s">
        <v>1676</v>
      </c>
      <c r="C154" s="175" t="s">
        <v>1677</v>
      </c>
      <c r="D154" s="175" t="s">
        <v>1678</v>
      </c>
      <c r="E154" s="174">
        <v>0</v>
      </c>
      <c r="F154" s="174">
        <v>29101.65</v>
      </c>
      <c r="G154" s="175">
        <f t="shared" si="30"/>
        <v>29101.65</v>
      </c>
      <c r="H154" s="174">
        <v>1612.81</v>
      </c>
      <c r="I154" s="174">
        <v>0</v>
      </c>
      <c r="J154" s="174">
        <v>0</v>
      </c>
      <c r="K154" s="174">
        <v>0</v>
      </c>
      <c r="L154" s="174">
        <f t="shared" si="31"/>
        <v>0</v>
      </c>
      <c r="M154" s="174">
        <v>0</v>
      </c>
      <c r="N154" s="174">
        <v>0</v>
      </c>
      <c r="O154" s="174">
        <v>0</v>
      </c>
      <c r="P154" s="174">
        <f t="shared" si="32"/>
        <v>0</v>
      </c>
      <c r="Q154" s="175">
        <v>0</v>
      </c>
      <c r="R154" s="175">
        <v>0</v>
      </c>
      <c r="S154" s="175">
        <v>0</v>
      </c>
      <c r="T154" s="175">
        <v>0</v>
      </c>
      <c r="U154" s="175">
        <f t="shared" si="33"/>
        <v>0</v>
      </c>
      <c r="V154" s="175">
        <f t="shared" si="34"/>
        <v>30714.460000000003</v>
      </c>
      <c r="W154" s="174">
        <v>0</v>
      </c>
      <c r="X154" s="174">
        <f t="shared" si="35"/>
        <v>30714.460000000003</v>
      </c>
      <c r="Y154" s="175">
        <v>-114</v>
      </c>
      <c r="Z154" s="174">
        <f t="shared" si="36"/>
        <v>30600.460000000003</v>
      </c>
    </row>
    <row r="155" spans="1:26" ht="12.75" hidden="1" outlineLevel="1">
      <c r="A155" s="174" t="s">
        <v>1679</v>
      </c>
      <c r="C155" s="175" t="s">
        <v>1680</v>
      </c>
      <c r="D155" s="175" t="s">
        <v>1681</v>
      </c>
      <c r="E155" s="174">
        <v>0</v>
      </c>
      <c r="F155" s="174">
        <v>39179.75</v>
      </c>
      <c r="G155" s="175">
        <f t="shared" si="30"/>
        <v>39179.75</v>
      </c>
      <c r="H155" s="174">
        <v>13881.1</v>
      </c>
      <c r="I155" s="174">
        <v>0</v>
      </c>
      <c r="J155" s="174">
        <v>0</v>
      </c>
      <c r="K155" s="174">
        <v>0</v>
      </c>
      <c r="L155" s="174">
        <f t="shared" si="31"/>
        <v>0</v>
      </c>
      <c r="M155" s="174">
        <v>0</v>
      </c>
      <c r="N155" s="174">
        <v>0</v>
      </c>
      <c r="O155" s="174">
        <v>0</v>
      </c>
      <c r="P155" s="174">
        <f t="shared" si="32"/>
        <v>0</v>
      </c>
      <c r="Q155" s="175">
        <v>0</v>
      </c>
      <c r="R155" s="175">
        <v>0</v>
      </c>
      <c r="S155" s="175">
        <v>0</v>
      </c>
      <c r="T155" s="175">
        <v>0</v>
      </c>
      <c r="U155" s="175">
        <f t="shared" si="33"/>
        <v>0</v>
      </c>
      <c r="V155" s="175">
        <f t="shared" si="34"/>
        <v>53060.85</v>
      </c>
      <c r="W155" s="174">
        <v>0</v>
      </c>
      <c r="X155" s="174">
        <f t="shared" si="35"/>
        <v>53060.85</v>
      </c>
      <c r="Y155" s="175">
        <v>0</v>
      </c>
      <c r="Z155" s="174">
        <f t="shared" si="36"/>
        <v>53060.85</v>
      </c>
    </row>
    <row r="156" spans="1:26" ht="12.75" hidden="1" outlineLevel="1">
      <c r="A156" s="174" t="s">
        <v>1682</v>
      </c>
      <c r="C156" s="175" t="s">
        <v>1683</v>
      </c>
      <c r="D156" s="175" t="s">
        <v>1684</v>
      </c>
      <c r="E156" s="174">
        <v>0</v>
      </c>
      <c r="F156" s="174">
        <v>78799.62</v>
      </c>
      <c r="G156" s="175">
        <f t="shared" si="30"/>
        <v>78799.62</v>
      </c>
      <c r="H156" s="174">
        <v>3403.39</v>
      </c>
      <c r="I156" s="174">
        <v>0</v>
      </c>
      <c r="J156" s="174">
        <v>0</v>
      </c>
      <c r="K156" s="174">
        <v>0</v>
      </c>
      <c r="L156" s="174">
        <f t="shared" si="31"/>
        <v>0</v>
      </c>
      <c r="M156" s="174">
        <v>0</v>
      </c>
      <c r="N156" s="174">
        <v>0</v>
      </c>
      <c r="O156" s="174">
        <v>0</v>
      </c>
      <c r="P156" s="174">
        <f t="shared" si="32"/>
        <v>0</v>
      </c>
      <c r="Q156" s="175">
        <v>0</v>
      </c>
      <c r="R156" s="175">
        <v>0</v>
      </c>
      <c r="S156" s="175">
        <v>0</v>
      </c>
      <c r="T156" s="175">
        <v>0</v>
      </c>
      <c r="U156" s="175">
        <f t="shared" si="33"/>
        <v>0</v>
      </c>
      <c r="V156" s="175">
        <f t="shared" si="34"/>
        <v>82203.01</v>
      </c>
      <c r="W156" s="174">
        <v>0</v>
      </c>
      <c r="X156" s="174">
        <f t="shared" si="35"/>
        <v>82203.01</v>
      </c>
      <c r="Y156" s="175">
        <v>218.25</v>
      </c>
      <c r="Z156" s="174">
        <f t="shared" si="36"/>
        <v>82421.26</v>
      </c>
    </row>
    <row r="157" spans="1:26" ht="12.75" hidden="1" outlineLevel="1">
      <c r="A157" s="174" t="s">
        <v>1685</v>
      </c>
      <c r="C157" s="175" t="s">
        <v>1686</v>
      </c>
      <c r="D157" s="175" t="s">
        <v>1687</v>
      </c>
      <c r="E157" s="174">
        <v>0</v>
      </c>
      <c r="F157" s="174">
        <v>88966.99</v>
      </c>
      <c r="G157" s="175">
        <f t="shared" si="30"/>
        <v>88966.99</v>
      </c>
      <c r="H157" s="174">
        <v>4980.95</v>
      </c>
      <c r="I157" s="174">
        <v>0</v>
      </c>
      <c r="J157" s="174">
        <v>0</v>
      </c>
      <c r="K157" s="174">
        <v>0</v>
      </c>
      <c r="L157" s="174">
        <f t="shared" si="31"/>
        <v>0</v>
      </c>
      <c r="M157" s="174">
        <v>0</v>
      </c>
      <c r="N157" s="174">
        <v>0</v>
      </c>
      <c r="O157" s="174">
        <v>0</v>
      </c>
      <c r="P157" s="174">
        <f t="shared" si="32"/>
        <v>0</v>
      </c>
      <c r="Q157" s="175">
        <v>0</v>
      </c>
      <c r="R157" s="175">
        <v>0</v>
      </c>
      <c r="S157" s="175">
        <v>0</v>
      </c>
      <c r="T157" s="175">
        <v>0</v>
      </c>
      <c r="U157" s="175">
        <f t="shared" si="33"/>
        <v>0</v>
      </c>
      <c r="V157" s="175">
        <f t="shared" si="34"/>
        <v>93947.94</v>
      </c>
      <c r="W157" s="174">
        <v>0</v>
      </c>
      <c r="X157" s="174">
        <f t="shared" si="35"/>
        <v>93947.94</v>
      </c>
      <c r="Y157" s="175">
        <v>0</v>
      </c>
      <c r="Z157" s="174">
        <f t="shared" si="36"/>
        <v>93947.94</v>
      </c>
    </row>
    <row r="158" spans="1:26" ht="12.75" hidden="1" outlineLevel="1">
      <c r="A158" s="174" t="s">
        <v>1688</v>
      </c>
      <c r="C158" s="175" t="s">
        <v>1689</v>
      </c>
      <c r="D158" s="175" t="s">
        <v>1690</v>
      </c>
      <c r="E158" s="174">
        <v>0</v>
      </c>
      <c r="F158" s="174">
        <v>6110.3</v>
      </c>
      <c r="G158" s="175">
        <f t="shared" si="30"/>
        <v>6110.3</v>
      </c>
      <c r="H158" s="174">
        <v>1200.54</v>
      </c>
      <c r="I158" s="174">
        <v>0</v>
      </c>
      <c r="J158" s="174">
        <v>0</v>
      </c>
      <c r="K158" s="174">
        <v>0</v>
      </c>
      <c r="L158" s="174">
        <f t="shared" si="31"/>
        <v>0</v>
      </c>
      <c r="M158" s="174">
        <v>0</v>
      </c>
      <c r="N158" s="174">
        <v>0</v>
      </c>
      <c r="O158" s="174">
        <v>0</v>
      </c>
      <c r="P158" s="174">
        <f t="shared" si="32"/>
        <v>0</v>
      </c>
      <c r="Q158" s="175">
        <v>0</v>
      </c>
      <c r="R158" s="175">
        <v>0</v>
      </c>
      <c r="S158" s="175">
        <v>0</v>
      </c>
      <c r="T158" s="175">
        <v>0</v>
      </c>
      <c r="U158" s="175">
        <f t="shared" si="33"/>
        <v>0</v>
      </c>
      <c r="V158" s="175">
        <f t="shared" si="34"/>
        <v>7310.84</v>
      </c>
      <c r="W158" s="174">
        <v>0</v>
      </c>
      <c r="X158" s="174">
        <f t="shared" si="35"/>
        <v>7310.84</v>
      </c>
      <c r="Y158" s="175">
        <v>0</v>
      </c>
      <c r="Z158" s="174">
        <f t="shared" si="36"/>
        <v>7310.84</v>
      </c>
    </row>
    <row r="159" spans="1:26" ht="12.75" hidden="1" outlineLevel="1">
      <c r="A159" s="174" t="s">
        <v>1691</v>
      </c>
      <c r="C159" s="175" t="s">
        <v>1692</v>
      </c>
      <c r="D159" s="175" t="s">
        <v>1693</v>
      </c>
      <c r="E159" s="174">
        <v>0</v>
      </c>
      <c r="F159" s="174">
        <v>14152.44</v>
      </c>
      <c r="G159" s="175">
        <f t="shared" si="30"/>
        <v>14152.44</v>
      </c>
      <c r="H159" s="174">
        <v>253.31</v>
      </c>
      <c r="I159" s="174">
        <v>0</v>
      </c>
      <c r="J159" s="174">
        <v>0</v>
      </c>
      <c r="K159" s="174">
        <v>0</v>
      </c>
      <c r="L159" s="174">
        <f t="shared" si="31"/>
        <v>0</v>
      </c>
      <c r="M159" s="174">
        <v>0</v>
      </c>
      <c r="N159" s="174">
        <v>0</v>
      </c>
      <c r="O159" s="174">
        <v>0</v>
      </c>
      <c r="P159" s="174">
        <f t="shared" si="32"/>
        <v>0</v>
      </c>
      <c r="Q159" s="175">
        <v>0</v>
      </c>
      <c r="R159" s="175">
        <v>0</v>
      </c>
      <c r="S159" s="175">
        <v>0</v>
      </c>
      <c r="T159" s="175">
        <v>0</v>
      </c>
      <c r="U159" s="175">
        <f t="shared" si="33"/>
        <v>0</v>
      </c>
      <c r="V159" s="175">
        <f t="shared" si="34"/>
        <v>14405.75</v>
      </c>
      <c r="W159" s="174">
        <v>0</v>
      </c>
      <c r="X159" s="174">
        <f t="shared" si="35"/>
        <v>14405.75</v>
      </c>
      <c r="Y159" s="175">
        <v>0</v>
      </c>
      <c r="Z159" s="174">
        <f t="shared" si="36"/>
        <v>14405.75</v>
      </c>
    </row>
    <row r="160" spans="1:26" ht="12.75" hidden="1" outlineLevel="1">
      <c r="A160" s="174" t="s">
        <v>1694</v>
      </c>
      <c r="C160" s="175" t="s">
        <v>1695</v>
      </c>
      <c r="D160" s="175" t="s">
        <v>1696</v>
      </c>
      <c r="E160" s="174">
        <v>0</v>
      </c>
      <c r="F160" s="174">
        <v>21540.26</v>
      </c>
      <c r="G160" s="175">
        <f t="shared" si="30"/>
        <v>21540.26</v>
      </c>
      <c r="H160" s="174">
        <v>1514.5</v>
      </c>
      <c r="I160" s="174">
        <v>0</v>
      </c>
      <c r="J160" s="174">
        <v>0</v>
      </c>
      <c r="K160" s="174">
        <v>0</v>
      </c>
      <c r="L160" s="174">
        <f t="shared" si="31"/>
        <v>0</v>
      </c>
      <c r="M160" s="174">
        <v>0</v>
      </c>
      <c r="N160" s="174">
        <v>0</v>
      </c>
      <c r="O160" s="174">
        <v>0</v>
      </c>
      <c r="P160" s="174">
        <f t="shared" si="32"/>
        <v>0</v>
      </c>
      <c r="Q160" s="175">
        <v>0</v>
      </c>
      <c r="R160" s="175">
        <v>0</v>
      </c>
      <c r="S160" s="175">
        <v>0</v>
      </c>
      <c r="T160" s="175">
        <v>0</v>
      </c>
      <c r="U160" s="175">
        <f t="shared" si="33"/>
        <v>0</v>
      </c>
      <c r="V160" s="175">
        <f t="shared" si="34"/>
        <v>23054.76</v>
      </c>
      <c r="W160" s="174">
        <v>0</v>
      </c>
      <c r="X160" s="174">
        <f t="shared" si="35"/>
        <v>23054.76</v>
      </c>
      <c r="Y160" s="175">
        <v>0</v>
      </c>
      <c r="Z160" s="174">
        <f t="shared" si="36"/>
        <v>23054.76</v>
      </c>
    </row>
    <row r="161" spans="1:26" ht="12.75" hidden="1" outlineLevel="1">
      <c r="A161" s="174" t="s">
        <v>1697</v>
      </c>
      <c r="C161" s="175" t="s">
        <v>1698</v>
      </c>
      <c r="D161" s="175" t="s">
        <v>1699</v>
      </c>
      <c r="E161" s="174">
        <v>0</v>
      </c>
      <c r="F161" s="174">
        <v>195981.99</v>
      </c>
      <c r="G161" s="175">
        <f t="shared" si="30"/>
        <v>195981.99</v>
      </c>
      <c r="H161" s="174">
        <v>0</v>
      </c>
      <c r="I161" s="174">
        <v>0</v>
      </c>
      <c r="J161" s="174">
        <v>0</v>
      </c>
      <c r="K161" s="174">
        <v>0</v>
      </c>
      <c r="L161" s="174">
        <f t="shared" si="31"/>
        <v>0</v>
      </c>
      <c r="M161" s="174">
        <v>0</v>
      </c>
      <c r="N161" s="174">
        <v>0</v>
      </c>
      <c r="O161" s="174">
        <v>0</v>
      </c>
      <c r="P161" s="174">
        <f t="shared" si="32"/>
        <v>0</v>
      </c>
      <c r="Q161" s="175">
        <v>0</v>
      </c>
      <c r="R161" s="175">
        <v>0</v>
      </c>
      <c r="S161" s="175">
        <v>0</v>
      </c>
      <c r="T161" s="175">
        <v>0</v>
      </c>
      <c r="U161" s="175">
        <f t="shared" si="33"/>
        <v>0</v>
      </c>
      <c r="V161" s="175">
        <f t="shared" si="34"/>
        <v>195981.99</v>
      </c>
      <c r="W161" s="174">
        <v>0</v>
      </c>
      <c r="X161" s="174">
        <f t="shared" si="35"/>
        <v>195981.99</v>
      </c>
      <c r="Y161" s="175">
        <v>0</v>
      </c>
      <c r="Z161" s="174">
        <f t="shared" si="36"/>
        <v>195981.99</v>
      </c>
    </row>
    <row r="162" spans="1:26" ht="12.75" hidden="1" outlineLevel="1">
      <c r="A162" s="174" t="s">
        <v>1700</v>
      </c>
      <c r="C162" s="175" t="s">
        <v>1701</v>
      </c>
      <c r="D162" s="175" t="s">
        <v>1702</v>
      </c>
      <c r="E162" s="174">
        <v>0</v>
      </c>
      <c r="F162" s="174">
        <v>6023.23</v>
      </c>
      <c r="G162" s="175">
        <f t="shared" si="30"/>
        <v>6023.23</v>
      </c>
      <c r="H162" s="174">
        <v>0</v>
      </c>
      <c r="I162" s="174">
        <v>0</v>
      </c>
      <c r="J162" s="174">
        <v>0</v>
      </c>
      <c r="K162" s="174">
        <v>0</v>
      </c>
      <c r="L162" s="174">
        <f t="shared" si="31"/>
        <v>0</v>
      </c>
      <c r="M162" s="174">
        <v>0</v>
      </c>
      <c r="N162" s="174">
        <v>0</v>
      </c>
      <c r="O162" s="174">
        <v>0</v>
      </c>
      <c r="P162" s="174">
        <f t="shared" si="32"/>
        <v>0</v>
      </c>
      <c r="Q162" s="175">
        <v>0</v>
      </c>
      <c r="R162" s="175">
        <v>0</v>
      </c>
      <c r="S162" s="175">
        <v>0</v>
      </c>
      <c r="T162" s="175">
        <v>0</v>
      </c>
      <c r="U162" s="175">
        <f t="shared" si="33"/>
        <v>0</v>
      </c>
      <c r="V162" s="175">
        <f t="shared" si="34"/>
        <v>6023.23</v>
      </c>
      <c r="W162" s="174">
        <v>0</v>
      </c>
      <c r="X162" s="174">
        <f t="shared" si="35"/>
        <v>6023.23</v>
      </c>
      <c r="Y162" s="175">
        <v>0</v>
      </c>
      <c r="Z162" s="174">
        <f t="shared" si="36"/>
        <v>6023.23</v>
      </c>
    </row>
    <row r="163" spans="1:26" ht="12.75" hidden="1" outlineLevel="1">
      <c r="A163" s="174" t="s">
        <v>1703</v>
      </c>
      <c r="C163" s="175" t="s">
        <v>1704</v>
      </c>
      <c r="D163" s="175" t="s">
        <v>1705</v>
      </c>
      <c r="E163" s="174">
        <v>0</v>
      </c>
      <c r="F163" s="174">
        <v>4631.15</v>
      </c>
      <c r="G163" s="175">
        <f t="shared" si="30"/>
        <v>4631.15</v>
      </c>
      <c r="H163" s="174">
        <v>0</v>
      </c>
      <c r="I163" s="174">
        <v>0</v>
      </c>
      <c r="J163" s="174">
        <v>0</v>
      </c>
      <c r="K163" s="174">
        <v>0</v>
      </c>
      <c r="L163" s="174">
        <f t="shared" si="31"/>
        <v>0</v>
      </c>
      <c r="M163" s="174">
        <v>0</v>
      </c>
      <c r="N163" s="174">
        <v>0</v>
      </c>
      <c r="O163" s="174">
        <v>0</v>
      </c>
      <c r="P163" s="174">
        <f t="shared" si="32"/>
        <v>0</v>
      </c>
      <c r="Q163" s="175">
        <v>0</v>
      </c>
      <c r="R163" s="175">
        <v>0</v>
      </c>
      <c r="S163" s="175">
        <v>0</v>
      </c>
      <c r="T163" s="175">
        <v>0</v>
      </c>
      <c r="U163" s="175">
        <f t="shared" si="33"/>
        <v>0</v>
      </c>
      <c r="V163" s="175">
        <f t="shared" si="34"/>
        <v>4631.15</v>
      </c>
      <c r="W163" s="174">
        <v>0</v>
      </c>
      <c r="X163" s="174">
        <f t="shared" si="35"/>
        <v>4631.15</v>
      </c>
      <c r="Y163" s="175">
        <v>0</v>
      </c>
      <c r="Z163" s="174">
        <f t="shared" si="36"/>
        <v>4631.15</v>
      </c>
    </row>
    <row r="164" spans="1:26" ht="12.75" hidden="1" outlineLevel="1">
      <c r="A164" s="174" t="s">
        <v>1706</v>
      </c>
      <c r="C164" s="175" t="s">
        <v>1707</v>
      </c>
      <c r="D164" s="175" t="s">
        <v>1708</v>
      </c>
      <c r="E164" s="174">
        <v>0</v>
      </c>
      <c r="F164" s="174">
        <v>51610.93</v>
      </c>
      <c r="G164" s="175">
        <f t="shared" si="30"/>
        <v>51610.93</v>
      </c>
      <c r="H164" s="174">
        <v>1659.51</v>
      </c>
      <c r="I164" s="174">
        <v>0</v>
      </c>
      <c r="J164" s="174">
        <v>0</v>
      </c>
      <c r="K164" s="174">
        <v>0</v>
      </c>
      <c r="L164" s="174">
        <f t="shared" si="31"/>
        <v>0</v>
      </c>
      <c r="M164" s="174">
        <v>0</v>
      </c>
      <c r="N164" s="174">
        <v>0</v>
      </c>
      <c r="O164" s="174">
        <v>0</v>
      </c>
      <c r="P164" s="174">
        <f t="shared" si="32"/>
        <v>0</v>
      </c>
      <c r="Q164" s="175">
        <v>0</v>
      </c>
      <c r="R164" s="175">
        <v>0</v>
      </c>
      <c r="S164" s="175">
        <v>0</v>
      </c>
      <c r="T164" s="175">
        <v>0</v>
      </c>
      <c r="U164" s="175">
        <f t="shared" si="33"/>
        <v>0</v>
      </c>
      <c r="V164" s="175">
        <f t="shared" si="34"/>
        <v>53270.44</v>
      </c>
      <c r="W164" s="174">
        <v>0</v>
      </c>
      <c r="X164" s="174">
        <f t="shared" si="35"/>
        <v>53270.44</v>
      </c>
      <c r="Y164" s="175">
        <v>0</v>
      </c>
      <c r="Z164" s="174">
        <f t="shared" si="36"/>
        <v>53270.44</v>
      </c>
    </row>
    <row r="165" spans="1:26" ht="12.75" hidden="1" outlineLevel="1">
      <c r="A165" s="174" t="s">
        <v>1709</v>
      </c>
      <c r="C165" s="175" t="s">
        <v>1710</v>
      </c>
      <c r="D165" s="175" t="s">
        <v>1711</v>
      </c>
      <c r="E165" s="174">
        <v>0</v>
      </c>
      <c r="F165" s="174">
        <v>2144.4</v>
      </c>
      <c r="G165" s="175">
        <f t="shared" si="30"/>
        <v>2144.4</v>
      </c>
      <c r="H165" s="174">
        <v>0</v>
      </c>
      <c r="I165" s="174">
        <v>0</v>
      </c>
      <c r="J165" s="174">
        <v>0</v>
      </c>
      <c r="K165" s="174">
        <v>0</v>
      </c>
      <c r="L165" s="174">
        <f t="shared" si="31"/>
        <v>0</v>
      </c>
      <c r="M165" s="174">
        <v>0</v>
      </c>
      <c r="N165" s="174">
        <v>0</v>
      </c>
      <c r="O165" s="174">
        <v>0</v>
      </c>
      <c r="P165" s="174">
        <f t="shared" si="32"/>
        <v>0</v>
      </c>
      <c r="Q165" s="175">
        <v>0</v>
      </c>
      <c r="R165" s="175">
        <v>0</v>
      </c>
      <c r="S165" s="175">
        <v>0</v>
      </c>
      <c r="T165" s="175">
        <v>0</v>
      </c>
      <c r="U165" s="175">
        <f t="shared" si="33"/>
        <v>0</v>
      </c>
      <c r="V165" s="175">
        <f t="shared" si="34"/>
        <v>2144.4</v>
      </c>
      <c r="W165" s="174">
        <v>0</v>
      </c>
      <c r="X165" s="174">
        <f t="shared" si="35"/>
        <v>2144.4</v>
      </c>
      <c r="Y165" s="175">
        <v>0</v>
      </c>
      <c r="Z165" s="174">
        <f t="shared" si="36"/>
        <v>2144.4</v>
      </c>
    </row>
    <row r="166" spans="1:26" ht="12.75" hidden="1" outlineLevel="1">
      <c r="A166" s="174" t="s">
        <v>1712</v>
      </c>
      <c r="C166" s="175" t="s">
        <v>1713</v>
      </c>
      <c r="D166" s="175" t="s">
        <v>1714</v>
      </c>
      <c r="E166" s="174">
        <v>0</v>
      </c>
      <c r="F166" s="174">
        <v>0</v>
      </c>
      <c r="G166" s="175">
        <f t="shared" si="30"/>
        <v>0</v>
      </c>
      <c r="H166" s="174">
        <v>150</v>
      </c>
      <c r="I166" s="174">
        <v>0</v>
      </c>
      <c r="J166" s="174">
        <v>0</v>
      </c>
      <c r="K166" s="174">
        <v>0</v>
      </c>
      <c r="L166" s="174">
        <f t="shared" si="31"/>
        <v>0</v>
      </c>
      <c r="M166" s="174">
        <v>0</v>
      </c>
      <c r="N166" s="174">
        <v>0</v>
      </c>
      <c r="O166" s="174">
        <v>0</v>
      </c>
      <c r="P166" s="174">
        <f t="shared" si="32"/>
        <v>0</v>
      </c>
      <c r="Q166" s="175">
        <v>0</v>
      </c>
      <c r="R166" s="175">
        <v>0</v>
      </c>
      <c r="S166" s="175">
        <v>0</v>
      </c>
      <c r="T166" s="175">
        <v>0</v>
      </c>
      <c r="U166" s="175">
        <f t="shared" si="33"/>
        <v>0</v>
      </c>
      <c r="V166" s="175">
        <f t="shared" si="34"/>
        <v>150</v>
      </c>
      <c r="W166" s="174">
        <v>0</v>
      </c>
      <c r="X166" s="174">
        <f t="shared" si="35"/>
        <v>150</v>
      </c>
      <c r="Y166" s="175">
        <v>0</v>
      </c>
      <c r="Z166" s="174">
        <f t="shared" si="36"/>
        <v>150</v>
      </c>
    </row>
    <row r="167" spans="1:26" ht="12.75" hidden="1" outlineLevel="1">
      <c r="A167" s="174" t="s">
        <v>1715</v>
      </c>
      <c r="C167" s="175" t="s">
        <v>1716</v>
      </c>
      <c r="D167" s="175" t="s">
        <v>1717</v>
      </c>
      <c r="E167" s="174">
        <v>0</v>
      </c>
      <c r="F167" s="174">
        <v>7134.96</v>
      </c>
      <c r="G167" s="175">
        <f t="shared" si="30"/>
        <v>7134.96</v>
      </c>
      <c r="H167" s="174">
        <v>58235</v>
      </c>
      <c r="I167" s="174">
        <v>0</v>
      </c>
      <c r="J167" s="174">
        <v>0</v>
      </c>
      <c r="K167" s="174">
        <v>0</v>
      </c>
      <c r="L167" s="174">
        <f t="shared" si="31"/>
        <v>0</v>
      </c>
      <c r="M167" s="174">
        <v>0</v>
      </c>
      <c r="N167" s="174">
        <v>0</v>
      </c>
      <c r="O167" s="174">
        <v>0</v>
      </c>
      <c r="P167" s="174">
        <f t="shared" si="32"/>
        <v>0</v>
      </c>
      <c r="Q167" s="175">
        <v>0</v>
      </c>
      <c r="R167" s="175">
        <v>0</v>
      </c>
      <c r="S167" s="175">
        <v>0</v>
      </c>
      <c r="T167" s="175">
        <v>0</v>
      </c>
      <c r="U167" s="175">
        <f t="shared" si="33"/>
        <v>0</v>
      </c>
      <c r="V167" s="175">
        <f t="shared" si="34"/>
        <v>65369.96</v>
      </c>
      <c r="W167" s="174">
        <v>0</v>
      </c>
      <c r="X167" s="174">
        <f t="shared" si="35"/>
        <v>65369.96</v>
      </c>
      <c r="Y167" s="175">
        <v>0</v>
      </c>
      <c r="Z167" s="174">
        <f t="shared" si="36"/>
        <v>65369.96</v>
      </c>
    </row>
    <row r="168" spans="1:26" ht="12.75" hidden="1" outlineLevel="1">
      <c r="A168" s="174" t="s">
        <v>1718</v>
      </c>
      <c r="C168" s="175" t="s">
        <v>1719</v>
      </c>
      <c r="D168" s="175" t="s">
        <v>1720</v>
      </c>
      <c r="E168" s="174">
        <v>0</v>
      </c>
      <c r="F168" s="174">
        <v>0</v>
      </c>
      <c r="G168" s="175">
        <f t="shared" si="30"/>
        <v>0</v>
      </c>
      <c r="H168" s="174">
        <v>7202.74</v>
      </c>
      <c r="I168" s="174">
        <v>0</v>
      </c>
      <c r="J168" s="174">
        <v>0</v>
      </c>
      <c r="K168" s="174">
        <v>0</v>
      </c>
      <c r="L168" s="174">
        <f t="shared" si="31"/>
        <v>0</v>
      </c>
      <c r="M168" s="174">
        <v>0</v>
      </c>
      <c r="N168" s="174">
        <v>0</v>
      </c>
      <c r="O168" s="174">
        <v>0</v>
      </c>
      <c r="P168" s="174">
        <f t="shared" si="32"/>
        <v>0</v>
      </c>
      <c r="Q168" s="175">
        <v>0</v>
      </c>
      <c r="R168" s="175">
        <v>0</v>
      </c>
      <c r="S168" s="175">
        <v>0</v>
      </c>
      <c r="T168" s="175">
        <v>0</v>
      </c>
      <c r="U168" s="175">
        <f t="shared" si="33"/>
        <v>0</v>
      </c>
      <c r="V168" s="175">
        <f t="shared" si="34"/>
        <v>7202.74</v>
      </c>
      <c r="W168" s="174">
        <v>0</v>
      </c>
      <c r="X168" s="174">
        <f t="shared" si="35"/>
        <v>7202.74</v>
      </c>
      <c r="Y168" s="175">
        <v>0</v>
      </c>
      <c r="Z168" s="174">
        <f t="shared" si="36"/>
        <v>7202.74</v>
      </c>
    </row>
    <row r="169" spans="1:26" ht="12.75" hidden="1" outlineLevel="1">
      <c r="A169" s="174" t="s">
        <v>1721</v>
      </c>
      <c r="C169" s="175" t="s">
        <v>1722</v>
      </c>
      <c r="D169" s="175" t="s">
        <v>1723</v>
      </c>
      <c r="E169" s="174">
        <v>0</v>
      </c>
      <c r="F169" s="174">
        <v>0</v>
      </c>
      <c r="G169" s="175">
        <f t="shared" si="30"/>
        <v>0</v>
      </c>
      <c r="H169" s="174">
        <v>1146.85</v>
      </c>
      <c r="I169" s="174">
        <v>0</v>
      </c>
      <c r="J169" s="174">
        <v>0</v>
      </c>
      <c r="K169" s="174">
        <v>0</v>
      </c>
      <c r="L169" s="174">
        <f t="shared" si="31"/>
        <v>0</v>
      </c>
      <c r="M169" s="174">
        <v>0</v>
      </c>
      <c r="N169" s="174">
        <v>0</v>
      </c>
      <c r="O169" s="174">
        <v>0</v>
      </c>
      <c r="P169" s="174">
        <f t="shared" si="32"/>
        <v>0</v>
      </c>
      <c r="Q169" s="175">
        <v>0</v>
      </c>
      <c r="R169" s="175">
        <v>0</v>
      </c>
      <c r="S169" s="175">
        <v>0</v>
      </c>
      <c r="T169" s="175">
        <v>0</v>
      </c>
      <c r="U169" s="175">
        <f t="shared" si="33"/>
        <v>0</v>
      </c>
      <c r="V169" s="175">
        <f t="shared" si="34"/>
        <v>1146.85</v>
      </c>
      <c r="W169" s="174">
        <v>0</v>
      </c>
      <c r="X169" s="174">
        <f t="shared" si="35"/>
        <v>1146.85</v>
      </c>
      <c r="Y169" s="175">
        <v>0</v>
      </c>
      <c r="Z169" s="174">
        <f t="shared" si="36"/>
        <v>1146.85</v>
      </c>
    </row>
    <row r="170" spans="1:26" ht="12.75" hidden="1" outlineLevel="1">
      <c r="A170" s="174" t="s">
        <v>1724</v>
      </c>
      <c r="C170" s="175" t="s">
        <v>1725</v>
      </c>
      <c r="D170" s="175" t="s">
        <v>1726</v>
      </c>
      <c r="E170" s="174">
        <v>0</v>
      </c>
      <c r="F170" s="174">
        <v>0</v>
      </c>
      <c r="G170" s="175">
        <f t="shared" si="30"/>
        <v>0</v>
      </c>
      <c r="H170" s="174">
        <v>13597.2</v>
      </c>
      <c r="I170" s="174">
        <v>0</v>
      </c>
      <c r="J170" s="174">
        <v>0</v>
      </c>
      <c r="K170" s="174">
        <v>0</v>
      </c>
      <c r="L170" s="174">
        <f t="shared" si="31"/>
        <v>0</v>
      </c>
      <c r="M170" s="174">
        <v>0</v>
      </c>
      <c r="N170" s="174">
        <v>0</v>
      </c>
      <c r="O170" s="174">
        <v>0</v>
      </c>
      <c r="P170" s="174">
        <f t="shared" si="32"/>
        <v>0</v>
      </c>
      <c r="Q170" s="175">
        <v>0</v>
      </c>
      <c r="R170" s="175">
        <v>0</v>
      </c>
      <c r="S170" s="175">
        <v>0</v>
      </c>
      <c r="T170" s="175">
        <v>0</v>
      </c>
      <c r="U170" s="175">
        <f t="shared" si="33"/>
        <v>0</v>
      </c>
      <c r="V170" s="175">
        <f t="shared" si="34"/>
        <v>13597.2</v>
      </c>
      <c r="W170" s="174">
        <v>0</v>
      </c>
      <c r="X170" s="174">
        <f t="shared" si="35"/>
        <v>13597.2</v>
      </c>
      <c r="Y170" s="175">
        <v>0</v>
      </c>
      <c r="Z170" s="174">
        <f t="shared" si="36"/>
        <v>13597.2</v>
      </c>
    </row>
    <row r="171" spans="1:26" ht="12.75" hidden="1" outlineLevel="1">
      <c r="A171" s="174" t="s">
        <v>1727</v>
      </c>
      <c r="C171" s="175" t="s">
        <v>1728</v>
      </c>
      <c r="D171" s="175" t="s">
        <v>1729</v>
      </c>
      <c r="E171" s="174">
        <v>0</v>
      </c>
      <c r="F171" s="174">
        <v>0</v>
      </c>
      <c r="G171" s="175">
        <f t="shared" si="30"/>
        <v>0</v>
      </c>
      <c r="H171" s="174">
        <v>13364.96</v>
      </c>
      <c r="I171" s="174">
        <v>0</v>
      </c>
      <c r="J171" s="174">
        <v>0</v>
      </c>
      <c r="K171" s="174">
        <v>0</v>
      </c>
      <c r="L171" s="174">
        <f t="shared" si="31"/>
        <v>0</v>
      </c>
      <c r="M171" s="174">
        <v>0</v>
      </c>
      <c r="N171" s="174">
        <v>0</v>
      </c>
      <c r="O171" s="174">
        <v>0</v>
      </c>
      <c r="P171" s="174">
        <f t="shared" si="32"/>
        <v>0</v>
      </c>
      <c r="Q171" s="175">
        <v>0</v>
      </c>
      <c r="R171" s="175">
        <v>0</v>
      </c>
      <c r="S171" s="175">
        <v>0</v>
      </c>
      <c r="T171" s="175">
        <v>0</v>
      </c>
      <c r="U171" s="175">
        <f t="shared" si="33"/>
        <v>0</v>
      </c>
      <c r="V171" s="175">
        <f t="shared" si="34"/>
        <v>13364.96</v>
      </c>
      <c r="W171" s="174">
        <v>0</v>
      </c>
      <c r="X171" s="174">
        <f t="shared" si="35"/>
        <v>13364.96</v>
      </c>
      <c r="Y171" s="175">
        <v>0</v>
      </c>
      <c r="Z171" s="174">
        <f t="shared" si="36"/>
        <v>13364.96</v>
      </c>
    </row>
    <row r="172" spans="1:26" ht="12.75" hidden="1" outlineLevel="1">
      <c r="A172" s="174" t="s">
        <v>1730</v>
      </c>
      <c r="C172" s="175" t="s">
        <v>1731</v>
      </c>
      <c r="D172" s="175" t="s">
        <v>1732</v>
      </c>
      <c r="E172" s="174">
        <v>0</v>
      </c>
      <c r="F172" s="174">
        <v>0</v>
      </c>
      <c r="G172" s="175">
        <f t="shared" si="30"/>
        <v>0</v>
      </c>
      <c r="H172" s="174">
        <v>111.48</v>
      </c>
      <c r="I172" s="174">
        <v>0</v>
      </c>
      <c r="J172" s="174">
        <v>0</v>
      </c>
      <c r="K172" s="174">
        <v>0</v>
      </c>
      <c r="L172" s="174">
        <f t="shared" si="31"/>
        <v>0</v>
      </c>
      <c r="M172" s="174">
        <v>0</v>
      </c>
      <c r="N172" s="174">
        <v>0</v>
      </c>
      <c r="O172" s="174">
        <v>0</v>
      </c>
      <c r="P172" s="174">
        <f t="shared" si="32"/>
        <v>0</v>
      </c>
      <c r="Q172" s="175">
        <v>0</v>
      </c>
      <c r="R172" s="175">
        <v>0</v>
      </c>
      <c r="S172" s="175">
        <v>0</v>
      </c>
      <c r="T172" s="175">
        <v>0</v>
      </c>
      <c r="U172" s="175">
        <f t="shared" si="33"/>
        <v>0</v>
      </c>
      <c r="V172" s="175">
        <f t="shared" si="34"/>
        <v>111.48</v>
      </c>
      <c r="W172" s="174">
        <v>0</v>
      </c>
      <c r="X172" s="174">
        <f t="shared" si="35"/>
        <v>111.48</v>
      </c>
      <c r="Y172" s="175">
        <v>0</v>
      </c>
      <c r="Z172" s="174">
        <f t="shared" si="36"/>
        <v>111.48</v>
      </c>
    </row>
    <row r="173" spans="1:26" ht="12.75" hidden="1" outlineLevel="1">
      <c r="A173" s="174" t="s">
        <v>1733</v>
      </c>
      <c r="C173" s="175" t="s">
        <v>1734</v>
      </c>
      <c r="D173" s="175" t="s">
        <v>1735</v>
      </c>
      <c r="E173" s="174">
        <v>0</v>
      </c>
      <c r="F173" s="174">
        <v>0</v>
      </c>
      <c r="G173" s="175">
        <f t="shared" si="30"/>
        <v>0</v>
      </c>
      <c r="H173" s="174">
        <v>157.74</v>
      </c>
      <c r="I173" s="174">
        <v>0</v>
      </c>
      <c r="J173" s="174">
        <v>0</v>
      </c>
      <c r="K173" s="174">
        <v>0</v>
      </c>
      <c r="L173" s="174">
        <f t="shared" si="31"/>
        <v>0</v>
      </c>
      <c r="M173" s="174">
        <v>0</v>
      </c>
      <c r="N173" s="174">
        <v>0</v>
      </c>
      <c r="O173" s="174">
        <v>0</v>
      </c>
      <c r="P173" s="174">
        <f t="shared" si="32"/>
        <v>0</v>
      </c>
      <c r="Q173" s="175">
        <v>0</v>
      </c>
      <c r="R173" s="175">
        <v>0</v>
      </c>
      <c r="S173" s="175">
        <v>0</v>
      </c>
      <c r="T173" s="175">
        <v>0</v>
      </c>
      <c r="U173" s="175">
        <f t="shared" si="33"/>
        <v>0</v>
      </c>
      <c r="V173" s="175">
        <f t="shared" si="34"/>
        <v>157.74</v>
      </c>
      <c r="W173" s="174">
        <v>0</v>
      </c>
      <c r="X173" s="174">
        <f t="shared" si="35"/>
        <v>157.74</v>
      </c>
      <c r="Y173" s="175">
        <v>0</v>
      </c>
      <c r="Z173" s="174">
        <f t="shared" si="36"/>
        <v>157.74</v>
      </c>
    </row>
    <row r="174" spans="1:26" ht="12.75" hidden="1" outlineLevel="1">
      <c r="A174" s="174" t="s">
        <v>1736</v>
      </c>
      <c r="C174" s="175" t="s">
        <v>1737</v>
      </c>
      <c r="D174" s="175" t="s">
        <v>1738</v>
      </c>
      <c r="E174" s="174">
        <v>0</v>
      </c>
      <c r="F174" s="174">
        <v>18486.91</v>
      </c>
      <c r="G174" s="175">
        <f t="shared" si="30"/>
        <v>18486.91</v>
      </c>
      <c r="H174" s="174">
        <v>5704.75</v>
      </c>
      <c r="I174" s="174">
        <v>0</v>
      </c>
      <c r="J174" s="174">
        <v>0</v>
      </c>
      <c r="K174" s="174">
        <v>0</v>
      </c>
      <c r="L174" s="174">
        <f t="shared" si="31"/>
        <v>0</v>
      </c>
      <c r="M174" s="174">
        <v>0</v>
      </c>
      <c r="N174" s="174">
        <v>0</v>
      </c>
      <c r="O174" s="174">
        <v>0</v>
      </c>
      <c r="P174" s="174">
        <f t="shared" si="32"/>
        <v>0</v>
      </c>
      <c r="Q174" s="175">
        <v>0</v>
      </c>
      <c r="R174" s="175">
        <v>0</v>
      </c>
      <c r="S174" s="175">
        <v>0</v>
      </c>
      <c r="T174" s="175">
        <v>0</v>
      </c>
      <c r="U174" s="175">
        <f t="shared" si="33"/>
        <v>0</v>
      </c>
      <c r="V174" s="175">
        <f t="shared" si="34"/>
        <v>24191.66</v>
      </c>
      <c r="W174" s="174">
        <v>0</v>
      </c>
      <c r="X174" s="174">
        <f t="shared" si="35"/>
        <v>24191.66</v>
      </c>
      <c r="Y174" s="175">
        <v>0</v>
      </c>
      <c r="Z174" s="174">
        <f t="shared" si="36"/>
        <v>24191.66</v>
      </c>
    </row>
    <row r="175" spans="1:26" ht="12.75" hidden="1" outlineLevel="1">
      <c r="A175" s="174" t="s">
        <v>1739</v>
      </c>
      <c r="C175" s="175" t="s">
        <v>1740</v>
      </c>
      <c r="D175" s="175" t="s">
        <v>1741</v>
      </c>
      <c r="E175" s="174">
        <v>0</v>
      </c>
      <c r="F175" s="174">
        <v>0</v>
      </c>
      <c r="G175" s="175">
        <f t="shared" si="30"/>
        <v>0</v>
      </c>
      <c r="H175" s="174">
        <v>2118.3</v>
      </c>
      <c r="I175" s="174">
        <v>0</v>
      </c>
      <c r="J175" s="174">
        <v>0</v>
      </c>
      <c r="K175" s="174">
        <v>0</v>
      </c>
      <c r="L175" s="174">
        <f t="shared" si="31"/>
        <v>0</v>
      </c>
      <c r="M175" s="174">
        <v>0</v>
      </c>
      <c r="N175" s="174">
        <v>0</v>
      </c>
      <c r="O175" s="174">
        <v>0</v>
      </c>
      <c r="P175" s="174">
        <f t="shared" si="32"/>
        <v>0</v>
      </c>
      <c r="Q175" s="175">
        <v>0</v>
      </c>
      <c r="R175" s="175">
        <v>0</v>
      </c>
      <c r="S175" s="175">
        <v>0</v>
      </c>
      <c r="T175" s="175">
        <v>0</v>
      </c>
      <c r="U175" s="175">
        <f t="shared" si="33"/>
        <v>0</v>
      </c>
      <c r="V175" s="175">
        <f t="shared" si="34"/>
        <v>2118.3</v>
      </c>
      <c r="W175" s="174">
        <v>0</v>
      </c>
      <c r="X175" s="174">
        <f t="shared" si="35"/>
        <v>2118.3</v>
      </c>
      <c r="Y175" s="175">
        <v>0</v>
      </c>
      <c r="Z175" s="174">
        <f t="shared" si="36"/>
        <v>2118.3</v>
      </c>
    </row>
    <row r="176" spans="1:26" ht="12.75" hidden="1" outlineLevel="1">
      <c r="A176" s="174" t="s">
        <v>1742</v>
      </c>
      <c r="C176" s="175" t="s">
        <v>1743</v>
      </c>
      <c r="D176" s="175" t="s">
        <v>1744</v>
      </c>
      <c r="E176" s="174">
        <v>0</v>
      </c>
      <c r="F176" s="174">
        <v>0</v>
      </c>
      <c r="G176" s="175">
        <f t="shared" si="30"/>
        <v>0</v>
      </c>
      <c r="H176" s="174">
        <v>2652.4</v>
      </c>
      <c r="I176" s="174">
        <v>0</v>
      </c>
      <c r="J176" s="174">
        <v>0</v>
      </c>
      <c r="K176" s="174">
        <v>0</v>
      </c>
      <c r="L176" s="174">
        <f t="shared" si="31"/>
        <v>0</v>
      </c>
      <c r="M176" s="174">
        <v>0</v>
      </c>
      <c r="N176" s="174">
        <v>0</v>
      </c>
      <c r="O176" s="174">
        <v>0</v>
      </c>
      <c r="P176" s="174">
        <f t="shared" si="32"/>
        <v>0</v>
      </c>
      <c r="Q176" s="175">
        <v>0</v>
      </c>
      <c r="R176" s="175">
        <v>0</v>
      </c>
      <c r="S176" s="175">
        <v>0</v>
      </c>
      <c r="T176" s="175">
        <v>0</v>
      </c>
      <c r="U176" s="175">
        <f t="shared" si="33"/>
        <v>0</v>
      </c>
      <c r="V176" s="175">
        <f t="shared" si="34"/>
        <v>2652.4</v>
      </c>
      <c r="W176" s="174">
        <v>0</v>
      </c>
      <c r="X176" s="174">
        <f t="shared" si="35"/>
        <v>2652.4</v>
      </c>
      <c r="Y176" s="175">
        <v>0</v>
      </c>
      <c r="Z176" s="174">
        <f t="shared" si="36"/>
        <v>2652.4</v>
      </c>
    </row>
    <row r="177" spans="1:26" ht="12.75" hidden="1" outlineLevel="1">
      <c r="A177" s="174" t="s">
        <v>1745</v>
      </c>
      <c r="C177" s="175" t="s">
        <v>1746</v>
      </c>
      <c r="D177" s="175" t="s">
        <v>1747</v>
      </c>
      <c r="E177" s="174">
        <v>0</v>
      </c>
      <c r="F177" s="174">
        <v>0</v>
      </c>
      <c r="G177" s="175">
        <f t="shared" si="30"/>
        <v>0</v>
      </c>
      <c r="H177" s="174">
        <v>5128.82</v>
      </c>
      <c r="I177" s="174">
        <v>0</v>
      </c>
      <c r="J177" s="174">
        <v>0</v>
      </c>
      <c r="K177" s="174">
        <v>0</v>
      </c>
      <c r="L177" s="174">
        <f t="shared" si="31"/>
        <v>0</v>
      </c>
      <c r="M177" s="174">
        <v>0</v>
      </c>
      <c r="N177" s="174">
        <v>0</v>
      </c>
      <c r="O177" s="174">
        <v>0</v>
      </c>
      <c r="P177" s="174">
        <f t="shared" si="32"/>
        <v>0</v>
      </c>
      <c r="Q177" s="175">
        <v>0</v>
      </c>
      <c r="R177" s="175">
        <v>0</v>
      </c>
      <c r="S177" s="175">
        <v>0</v>
      </c>
      <c r="T177" s="175">
        <v>0</v>
      </c>
      <c r="U177" s="175">
        <f t="shared" si="33"/>
        <v>0</v>
      </c>
      <c r="V177" s="175">
        <f t="shared" si="34"/>
        <v>5128.82</v>
      </c>
      <c r="W177" s="174">
        <v>0</v>
      </c>
      <c r="X177" s="174">
        <f t="shared" si="35"/>
        <v>5128.82</v>
      </c>
      <c r="Y177" s="175">
        <v>0</v>
      </c>
      <c r="Z177" s="174">
        <f t="shared" si="36"/>
        <v>5128.82</v>
      </c>
    </row>
    <row r="178" spans="1:26" ht="12.75" hidden="1" outlineLevel="1">
      <c r="A178" s="174" t="s">
        <v>1748</v>
      </c>
      <c r="C178" s="175" t="s">
        <v>1749</v>
      </c>
      <c r="D178" s="175" t="s">
        <v>1750</v>
      </c>
      <c r="E178" s="174">
        <v>0</v>
      </c>
      <c r="F178" s="174">
        <v>0</v>
      </c>
      <c r="G178" s="175">
        <f t="shared" si="30"/>
        <v>0</v>
      </c>
      <c r="H178" s="174">
        <v>1344.99</v>
      </c>
      <c r="I178" s="174">
        <v>0</v>
      </c>
      <c r="J178" s="174">
        <v>0</v>
      </c>
      <c r="K178" s="174">
        <v>0</v>
      </c>
      <c r="L178" s="174">
        <f t="shared" si="31"/>
        <v>0</v>
      </c>
      <c r="M178" s="174">
        <v>0</v>
      </c>
      <c r="N178" s="174">
        <v>0</v>
      </c>
      <c r="O178" s="174">
        <v>0</v>
      </c>
      <c r="P178" s="174">
        <f t="shared" si="32"/>
        <v>0</v>
      </c>
      <c r="Q178" s="175">
        <v>0</v>
      </c>
      <c r="R178" s="175">
        <v>0</v>
      </c>
      <c r="S178" s="175">
        <v>0</v>
      </c>
      <c r="T178" s="175">
        <v>0</v>
      </c>
      <c r="U178" s="175">
        <f t="shared" si="33"/>
        <v>0</v>
      </c>
      <c r="V178" s="175">
        <f t="shared" si="34"/>
        <v>1344.99</v>
      </c>
      <c r="W178" s="174">
        <v>0</v>
      </c>
      <c r="X178" s="174">
        <f t="shared" si="35"/>
        <v>1344.99</v>
      </c>
      <c r="Y178" s="175">
        <v>0</v>
      </c>
      <c r="Z178" s="174">
        <f t="shared" si="36"/>
        <v>1344.99</v>
      </c>
    </row>
    <row r="179" spans="1:26" ht="12.75" hidden="1" outlineLevel="1">
      <c r="A179" s="174" t="s">
        <v>1751</v>
      </c>
      <c r="C179" s="175" t="s">
        <v>1752</v>
      </c>
      <c r="D179" s="175" t="s">
        <v>1753</v>
      </c>
      <c r="E179" s="174">
        <v>0</v>
      </c>
      <c r="F179" s="174">
        <v>-932.16</v>
      </c>
      <c r="G179" s="175">
        <f t="shared" si="30"/>
        <v>-932.16</v>
      </c>
      <c r="H179" s="174">
        <v>0</v>
      </c>
      <c r="I179" s="174">
        <v>0</v>
      </c>
      <c r="J179" s="174">
        <v>0</v>
      </c>
      <c r="K179" s="174">
        <v>0</v>
      </c>
      <c r="L179" s="174">
        <f t="shared" si="31"/>
        <v>0</v>
      </c>
      <c r="M179" s="174">
        <v>0</v>
      </c>
      <c r="N179" s="174">
        <v>0</v>
      </c>
      <c r="O179" s="174">
        <v>0</v>
      </c>
      <c r="P179" s="174">
        <f t="shared" si="32"/>
        <v>0</v>
      </c>
      <c r="Q179" s="175">
        <v>0</v>
      </c>
      <c r="R179" s="175">
        <v>0</v>
      </c>
      <c r="S179" s="175">
        <v>0</v>
      </c>
      <c r="T179" s="175">
        <v>0</v>
      </c>
      <c r="U179" s="175">
        <f t="shared" si="33"/>
        <v>0</v>
      </c>
      <c r="V179" s="175">
        <f t="shared" si="34"/>
        <v>-932.16</v>
      </c>
      <c r="W179" s="174">
        <v>0</v>
      </c>
      <c r="X179" s="174">
        <f t="shared" si="35"/>
        <v>-932.16</v>
      </c>
      <c r="Y179" s="175">
        <v>0</v>
      </c>
      <c r="Z179" s="174">
        <f t="shared" si="36"/>
        <v>-932.16</v>
      </c>
    </row>
    <row r="180" spans="1:26" ht="12.75" hidden="1" outlineLevel="1">
      <c r="A180" s="174" t="s">
        <v>1754</v>
      </c>
      <c r="C180" s="175" t="s">
        <v>1755</v>
      </c>
      <c r="D180" s="175" t="s">
        <v>1756</v>
      </c>
      <c r="E180" s="174">
        <v>0</v>
      </c>
      <c r="F180" s="174">
        <v>35612.2</v>
      </c>
      <c r="G180" s="175">
        <f t="shared" si="30"/>
        <v>35612.2</v>
      </c>
      <c r="H180" s="174">
        <v>11968.65</v>
      </c>
      <c r="I180" s="174">
        <v>0</v>
      </c>
      <c r="J180" s="174">
        <v>0</v>
      </c>
      <c r="K180" s="174">
        <v>0</v>
      </c>
      <c r="L180" s="174">
        <f t="shared" si="31"/>
        <v>0</v>
      </c>
      <c r="M180" s="174">
        <v>0</v>
      </c>
      <c r="N180" s="174">
        <v>0</v>
      </c>
      <c r="O180" s="174">
        <v>0</v>
      </c>
      <c r="P180" s="174">
        <f t="shared" si="32"/>
        <v>0</v>
      </c>
      <c r="Q180" s="175">
        <v>0</v>
      </c>
      <c r="R180" s="175">
        <v>0</v>
      </c>
      <c r="S180" s="175">
        <v>0</v>
      </c>
      <c r="T180" s="175">
        <v>0</v>
      </c>
      <c r="U180" s="175">
        <f t="shared" si="33"/>
        <v>0</v>
      </c>
      <c r="V180" s="175">
        <f t="shared" si="34"/>
        <v>47580.85</v>
      </c>
      <c r="W180" s="174">
        <v>0</v>
      </c>
      <c r="X180" s="174">
        <f t="shared" si="35"/>
        <v>47580.85</v>
      </c>
      <c r="Y180" s="175">
        <v>0</v>
      </c>
      <c r="Z180" s="174">
        <f t="shared" si="36"/>
        <v>47580.85</v>
      </c>
    </row>
    <row r="181" spans="1:26" ht="12.75" hidden="1" outlineLevel="1">
      <c r="A181" s="174" t="s">
        <v>1757</v>
      </c>
      <c r="C181" s="175" t="s">
        <v>1758</v>
      </c>
      <c r="D181" s="175" t="s">
        <v>1759</v>
      </c>
      <c r="E181" s="174">
        <v>0</v>
      </c>
      <c r="F181" s="174">
        <v>149098.75</v>
      </c>
      <c r="G181" s="175">
        <f t="shared" si="30"/>
        <v>149098.75</v>
      </c>
      <c r="H181" s="174">
        <v>39399.64</v>
      </c>
      <c r="I181" s="174">
        <v>0</v>
      </c>
      <c r="J181" s="174">
        <v>0</v>
      </c>
      <c r="K181" s="174">
        <v>0</v>
      </c>
      <c r="L181" s="174">
        <f t="shared" si="31"/>
        <v>0</v>
      </c>
      <c r="M181" s="174">
        <v>0</v>
      </c>
      <c r="N181" s="174">
        <v>0</v>
      </c>
      <c r="O181" s="174">
        <v>0</v>
      </c>
      <c r="P181" s="174">
        <f t="shared" si="32"/>
        <v>0</v>
      </c>
      <c r="Q181" s="175">
        <v>0</v>
      </c>
      <c r="R181" s="175">
        <v>0</v>
      </c>
      <c r="S181" s="175">
        <v>0</v>
      </c>
      <c r="T181" s="175">
        <v>0</v>
      </c>
      <c r="U181" s="175">
        <f t="shared" si="33"/>
        <v>0</v>
      </c>
      <c r="V181" s="175">
        <f t="shared" si="34"/>
        <v>188498.39</v>
      </c>
      <c r="W181" s="174">
        <v>0</v>
      </c>
      <c r="X181" s="174">
        <f t="shared" si="35"/>
        <v>188498.39</v>
      </c>
      <c r="Y181" s="175">
        <v>0</v>
      </c>
      <c r="Z181" s="174">
        <f t="shared" si="36"/>
        <v>188498.39</v>
      </c>
    </row>
    <row r="182" spans="1:26" ht="12.75" hidden="1" outlineLevel="1">
      <c r="A182" s="174" t="s">
        <v>1760</v>
      </c>
      <c r="C182" s="175" t="s">
        <v>1761</v>
      </c>
      <c r="D182" s="175" t="s">
        <v>1762</v>
      </c>
      <c r="E182" s="174">
        <v>0</v>
      </c>
      <c r="F182" s="174">
        <v>5144</v>
      </c>
      <c r="G182" s="175">
        <f t="shared" si="30"/>
        <v>5144</v>
      </c>
      <c r="H182" s="174">
        <v>1229.48</v>
      </c>
      <c r="I182" s="174">
        <v>0</v>
      </c>
      <c r="J182" s="174">
        <v>0</v>
      </c>
      <c r="K182" s="174">
        <v>0</v>
      </c>
      <c r="L182" s="174">
        <f t="shared" si="31"/>
        <v>0</v>
      </c>
      <c r="M182" s="174">
        <v>0</v>
      </c>
      <c r="N182" s="174">
        <v>0</v>
      </c>
      <c r="O182" s="174">
        <v>0</v>
      </c>
      <c r="P182" s="174">
        <f t="shared" si="32"/>
        <v>0</v>
      </c>
      <c r="Q182" s="175">
        <v>0</v>
      </c>
      <c r="R182" s="175">
        <v>0</v>
      </c>
      <c r="S182" s="175">
        <v>0</v>
      </c>
      <c r="T182" s="175">
        <v>0</v>
      </c>
      <c r="U182" s="175">
        <f t="shared" si="33"/>
        <v>0</v>
      </c>
      <c r="V182" s="175">
        <f t="shared" si="34"/>
        <v>6373.48</v>
      </c>
      <c r="W182" s="174">
        <v>0</v>
      </c>
      <c r="X182" s="174">
        <f t="shared" si="35"/>
        <v>6373.48</v>
      </c>
      <c r="Y182" s="175">
        <v>0</v>
      </c>
      <c r="Z182" s="174">
        <f t="shared" si="36"/>
        <v>6373.48</v>
      </c>
    </row>
    <row r="183" spans="1:26" ht="12.75" hidden="1" outlineLevel="1">
      <c r="A183" s="174" t="s">
        <v>1763</v>
      </c>
      <c r="C183" s="175" t="s">
        <v>1764</v>
      </c>
      <c r="D183" s="175" t="s">
        <v>1765</v>
      </c>
      <c r="E183" s="174">
        <v>0</v>
      </c>
      <c r="F183" s="174">
        <v>610.45</v>
      </c>
      <c r="G183" s="175">
        <f t="shared" si="30"/>
        <v>610.45</v>
      </c>
      <c r="H183" s="174">
        <v>0</v>
      </c>
      <c r="I183" s="174">
        <v>0</v>
      </c>
      <c r="J183" s="174">
        <v>0</v>
      </c>
      <c r="K183" s="174">
        <v>0</v>
      </c>
      <c r="L183" s="174">
        <f t="shared" si="31"/>
        <v>0</v>
      </c>
      <c r="M183" s="174">
        <v>0</v>
      </c>
      <c r="N183" s="174">
        <v>0</v>
      </c>
      <c r="O183" s="174">
        <v>0</v>
      </c>
      <c r="P183" s="174">
        <f t="shared" si="32"/>
        <v>0</v>
      </c>
      <c r="Q183" s="175">
        <v>0</v>
      </c>
      <c r="R183" s="175">
        <v>0</v>
      </c>
      <c r="S183" s="175">
        <v>0</v>
      </c>
      <c r="T183" s="175">
        <v>0</v>
      </c>
      <c r="U183" s="175">
        <f t="shared" si="33"/>
        <v>0</v>
      </c>
      <c r="V183" s="175">
        <f t="shared" si="34"/>
        <v>610.45</v>
      </c>
      <c r="W183" s="174">
        <v>0</v>
      </c>
      <c r="X183" s="174">
        <f t="shared" si="35"/>
        <v>610.45</v>
      </c>
      <c r="Y183" s="175">
        <v>0</v>
      </c>
      <c r="Z183" s="174">
        <f t="shared" si="36"/>
        <v>610.45</v>
      </c>
    </row>
    <row r="184" spans="1:26" ht="12.75" hidden="1" outlineLevel="1">
      <c r="A184" s="174" t="s">
        <v>1766</v>
      </c>
      <c r="C184" s="175" t="s">
        <v>1767</v>
      </c>
      <c r="D184" s="175" t="s">
        <v>1768</v>
      </c>
      <c r="E184" s="174">
        <v>0</v>
      </c>
      <c r="F184" s="174">
        <v>48747.35</v>
      </c>
      <c r="G184" s="175">
        <f t="shared" si="30"/>
        <v>48747.35</v>
      </c>
      <c r="H184" s="174">
        <v>0</v>
      </c>
      <c r="I184" s="174">
        <v>0</v>
      </c>
      <c r="J184" s="174">
        <v>0</v>
      </c>
      <c r="K184" s="174">
        <v>0</v>
      </c>
      <c r="L184" s="174">
        <f t="shared" si="31"/>
        <v>0</v>
      </c>
      <c r="M184" s="174">
        <v>0</v>
      </c>
      <c r="N184" s="174">
        <v>0</v>
      </c>
      <c r="O184" s="174">
        <v>0</v>
      </c>
      <c r="P184" s="174">
        <f t="shared" si="32"/>
        <v>0</v>
      </c>
      <c r="Q184" s="175">
        <v>0</v>
      </c>
      <c r="R184" s="175">
        <v>0</v>
      </c>
      <c r="S184" s="175">
        <v>0</v>
      </c>
      <c r="T184" s="175">
        <v>0</v>
      </c>
      <c r="U184" s="175">
        <f t="shared" si="33"/>
        <v>0</v>
      </c>
      <c r="V184" s="175">
        <f t="shared" si="34"/>
        <v>48747.35</v>
      </c>
      <c r="W184" s="174">
        <v>0</v>
      </c>
      <c r="X184" s="174">
        <f t="shared" si="35"/>
        <v>48747.35</v>
      </c>
      <c r="Y184" s="175">
        <v>0</v>
      </c>
      <c r="Z184" s="174">
        <f t="shared" si="36"/>
        <v>48747.35</v>
      </c>
    </row>
    <row r="185" spans="1:26" ht="12.75" hidden="1" outlineLevel="1">
      <c r="A185" s="174" t="s">
        <v>1769</v>
      </c>
      <c r="C185" s="175" t="s">
        <v>1770</v>
      </c>
      <c r="D185" s="175" t="s">
        <v>1771</v>
      </c>
      <c r="E185" s="174">
        <v>0</v>
      </c>
      <c r="F185" s="174">
        <v>253865.03</v>
      </c>
      <c r="G185" s="175">
        <f t="shared" si="30"/>
        <v>253865.03</v>
      </c>
      <c r="H185" s="174">
        <v>117755.71</v>
      </c>
      <c r="I185" s="174">
        <v>0</v>
      </c>
      <c r="J185" s="174">
        <v>0</v>
      </c>
      <c r="K185" s="174">
        <v>0</v>
      </c>
      <c r="L185" s="174">
        <f t="shared" si="31"/>
        <v>0</v>
      </c>
      <c r="M185" s="174">
        <v>0</v>
      </c>
      <c r="N185" s="174">
        <v>0</v>
      </c>
      <c r="O185" s="174">
        <v>0</v>
      </c>
      <c r="P185" s="174">
        <f t="shared" si="32"/>
        <v>0</v>
      </c>
      <c r="Q185" s="175">
        <v>42472.37</v>
      </c>
      <c r="R185" s="175">
        <v>0</v>
      </c>
      <c r="S185" s="175">
        <v>0</v>
      </c>
      <c r="T185" s="175">
        <v>0</v>
      </c>
      <c r="U185" s="175">
        <f t="shared" si="33"/>
        <v>42472.37</v>
      </c>
      <c r="V185" s="175">
        <f t="shared" si="34"/>
        <v>414093.11</v>
      </c>
      <c r="W185" s="174">
        <v>0</v>
      </c>
      <c r="X185" s="174">
        <f t="shared" si="35"/>
        <v>414093.11</v>
      </c>
      <c r="Y185" s="175">
        <v>0</v>
      </c>
      <c r="Z185" s="174">
        <f t="shared" si="36"/>
        <v>414093.11</v>
      </c>
    </row>
    <row r="186" spans="1:26" ht="12.75" hidden="1" outlineLevel="1">
      <c r="A186" s="174" t="s">
        <v>1772</v>
      </c>
      <c r="C186" s="175" t="s">
        <v>1773</v>
      </c>
      <c r="D186" s="175" t="s">
        <v>1774</v>
      </c>
      <c r="E186" s="174">
        <v>0</v>
      </c>
      <c r="F186" s="174">
        <v>9142.98</v>
      </c>
      <c r="G186" s="175">
        <f t="shared" si="30"/>
        <v>9142.98</v>
      </c>
      <c r="H186" s="174">
        <v>16004.41</v>
      </c>
      <c r="I186" s="174">
        <v>0</v>
      </c>
      <c r="J186" s="174">
        <v>0</v>
      </c>
      <c r="K186" s="174">
        <v>0</v>
      </c>
      <c r="L186" s="174">
        <f t="shared" si="31"/>
        <v>0</v>
      </c>
      <c r="M186" s="174">
        <v>0</v>
      </c>
      <c r="N186" s="174">
        <v>0</v>
      </c>
      <c r="O186" s="174">
        <v>0</v>
      </c>
      <c r="P186" s="174">
        <f t="shared" si="32"/>
        <v>0</v>
      </c>
      <c r="Q186" s="175">
        <v>0</v>
      </c>
      <c r="R186" s="175">
        <v>0</v>
      </c>
      <c r="S186" s="175">
        <v>0</v>
      </c>
      <c r="T186" s="175">
        <v>0</v>
      </c>
      <c r="U186" s="175">
        <f t="shared" si="33"/>
        <v>0</v>
      </c>
      <c r="V186" s="175">
        <f t="shared" si="34"/>
        <v>25147.39</v>
      </c>
      <c r="W186" s="174">
        <v>0</v>
      </c>
      <c r="X186" s="174">
        <f t="shared" si="35"/>
        <v>25147.39</v>
      </c>
      <c r="Y186" s="175">
        <v>0</v>
      </c>
      <c r="Z186" s="174">
        <f t="shared" si="36"/>
        <v>25147.39</v>
      </c>
    </row>
    <row r="187" spans="1:26" ht="12.75" hidden="1" outlineLevel="1">
      <c r="A187" s="174" t="s">
        <v>1775</v>
      </c>
      <c r="C187" s="175" t="s">
        <v>1776</v>
      </c>
      <c r="D187" s="175" t="s">
        <v>1777</v>
      </c>
      <c r="E187" s="174">
        <v>0</v>
      </c>
      <c r="F187" s="174">
        <v>168157.45</v>
      </c>
      <c r="G187" s="175">
        <f t="shared" si="30"/>
        <v>168157.45</v>
      </c>
      <c r="H187" s="174">
        <v>48359.21</v>
      </c>
      <c r="I187" s="174">
        <v>0</v>
      </c>
      <c r="J187" s="174">
        <v>0</v>
      </c>
      <c r="K187" s="174">
        <v>0</v>
      </c>
      <c r="L187" s="174">
        <f t="shared" si="31"/>
        <v>0</v>
      </c>
      <c r="M187" s="174">
        <v>0</v>
      </c>
      <c r="N187" s="174">
        <v>0</v>
      </c>
      <c r="O187" s="174">
        <v>0</v>
      </c>
      <c r="P187" s="174">
        <f t="shared" si="32"/>
        <v>0</v>
      </c>
      <c r="Q187" s="175">
        <v>0</v>
      </c>
      <c r="R187" s="175">
        <v>0</v>
      </c>
      <c r="S187" s="175">
        <v>0</v>
      </c>
      <c r="T187" s="175">
        <v>0</v>
      </c>
      <c r="U187" s="175">
        <f t="shared" si="33"/>
        <v>0</v>
      </c>
      <c r="V187" s="175">
        <f t="shared" si="34"/>
        <v>216516.66</v>
      </c>
      <c r="W187" s="174">
        <v>0</v>
      </c>
      <c r="X187" s="174">
        <f t="shared" si="35"/>
        <v>216516.66</v>
      </c>
      <c r="Y187" s="175">
        <v>57.94</v>
      </c>
      <c r="Z187" s="174">
        <f t="shared" si="36"/>
        <v>216574.6</v>
      </c>
    </row>
    <row r="188" spans="1:26" ht="12.75" hidden="1" outlineLevel="1">
      <c r="A188" s="174" t="s">
        <v>1778</v>
      </c>
      <c r="C188" s="175" t="s">
        <v>1779</v>
      </c>
      <c r="D188" s="175" t="s">
        <v>1780</v>
      </c>
      <c r="E188" s="174">
        <v>0</v>
      </c>
      <c r="F188" s="174">
        <v>530573.69</v>
      </c>
      <c r="G188" s="175">
        <f t="shared" si="30"/>
        <v>530573.69</v>
      </c>
      <c r="H188" s="174">
        <v>75937.53</v>
      </c>
      <c r="I188" s="174">
        <v>0</v>
      </c>
      <c r="J188" s="174">
        <v>0</v>
      </c>
      <c r="K188" s="174">
        <v>0</v>
      </c>
      <c r="L188" s="174">
        <f t="shared" si="31"/>
        <v>0</v>
      </c>
      <c r="M188" s="174">
        <v>0</v>
      </c>
      <c r="N188" s="174">
        <v>50</v>
      </c>
      <c r="O188" s="174">
        <v>0</v>
      </c>
      <c r="P188" s="174">
        <f t="shared" si="32"/>
        <v>50</v>
      </c>
      <c r="Q188" s="175">
        <v>0</v>
      </c>
      <c r="R188" s="175">
        <v>0</v>
      </c>
      <c r="S188" s="175">
        <v>0</v>
      </c>
      <c r="T188" s="175">
        <v>0</v>
      </c>
      <c r="U188" s="175">
        <f t="shared" si="33"/>
        <v>0</v>
      </c>
      <c r="V188" s="175">
        <f t="shared" si="34"/>
        <v>606561.22</v>
      </c>
      <c r="W188" s="174">
        <v>0</v>
      </c>
      <c r="X188" s="174">
        <f t="shared" si="35"/>
        <v>606561.22</v>
      </c>
      <c r="Y188" s="175">
        <v>0</v>
      </c>
      <c r="Z188" s="174">
        <f t="shared" si="36"/>
        <v>606561.22</v>
      </c>
    </row>
    <row r="189" spans="1:26" ht="12.75" hidden="1" outlineLevel="1">
      <c r="A189" s="174" t="s">
        <v>1781</v>
      </c>
      <c r="C189" s="175" t="s">
        <v>1782</v>
      </c>
      <c r="D189" s="175" t="s">
        <v>1783</v>
      </c>
      <c r="E189" s="174">
        <v>0</v>
      </c>
      <c r="F189" s="174">
        <v>107517.57</v>
      </c>
      <c r="G189" s="175">
        <f t="shared" si="30"/>
        <v>107517.57</v>
      </c>
      <c r="H189" s="174">
        <v>3287.01</v>
      </c>
      <c r="I189" s="174">
        <v>0</v>
      </c>
      <c r="J189" s="174">
        <v>0</v>
      </c>
      <c r="K189" s="174">
        <v>0</v>
      </c>
      <c r="L189" s="174">
        <f t="shared" si="31"/>
        <v>0</v>
      </c>
      <c r="M189" s="174">
        <v>0</v>
      </c>
      <c r="N189" s="174">
        <v>0</v>
      </c>
      <c r="O189" s="174">
        <v>0</v>
      </c>
      <c r="P189" s="174">
        <f t="shared" si="32"/>
        <v>0</v>
      </c>
      <c r="Q189" s="175">
        <v>0</v>
      </c>
      <c r="R189" s="175">
        <v>0</v>
      </c>
      <c r="S189" s="175">
        <v>0</v>
      </c>
      <c r="T189" s="175">
        <v>0</v>
      </c>
      <c r="U189" s="175">
        <f t="shared" si="33"/>
        <v>0</v>
      </c>
      <c r="V189" s="175">
        <f t="shared" si="34"/>
        <v>110804.58</v>
      </c>
      <c r="W189" s="174">
        <v>0</v>
      </c>
      <c r="X189" s="174">
        <f t="shared" si="35"/>
        <v>110804.58</v>
      </c>
      <c r="Y189" s="175">
        <v>0</v>
      </c>
      <c r="Z189" s="174">
        <f t="shared" si="36"/>
        <v>110804.58</v>
      </c>
    </row>
    <row r="190" spans="1:26" ht="12.75" hidden="1" outlineLevel="1">
      <c r="A190" s="174" t="s">
        <v>1784</v>
      </c>
      <c r="C190" s="175" t="s">
        <v>1785</v>
      </c>
      <c r="D190" s="175" t="s">
        <v>1786</v>
      </c>
      <c r="E190" s="174">
        <v>0</v>
      </c>
      <c r="F190" s="174">
        <v>0</v>
      </c>
      <c r="G190" s="175">
        <f aca="true" t="shared" si="37" ref="G190:G253">E190+F190</f>
        <v>0</v>
      </c>
      <c r="H190" s="174">
        <v>25.89</v>
      </c>
      <c r="I190" s="174">
        <v>0</v>
      </c>
      <c r="J190" s="174">
        <v>0</v>
      </c>
      <c r="K190" s="174">
        <v>0</v>
      </c>
      <c r="L190" s="174">
        <f aca="true" t="shared" si="38" ref="L190:L253">J190+I190+K190</f>
        <v>0</v>
      </c>
      <c r="M190" s="174">
        <v>0</v>
      </c>
      <c r="N190" s="174">
        <v>0</v>
      </c>
      <c r="O190" s="174">
        <v>0</v>
      </c>
      <c r="P190" s="174">
        <f aca="true" t="shared" si="39" ref="P190:P253">M190+N190+O190</f>
        <v>0</v>
      </c>
      <c r="Q190" s="175">
        <v>0</v>
      </c>
      <c r="R190" s="175">
        <v>0</v>
      </c>
      <c r="S190" s="175">
        <v>0</v>
      </c>
      <c r="T190" s="175">
        <v>0</v>
      </c>
      <c r="U190" s="175">
        <f aca="true" t="shared" si="40" ref="U190:U253">Q190+R190+S190+T190</f>
        <v>0</v>
      </c>
      <c r="V190" s="175">
        <f aca="true" t="shared" si="41" ref="V190:V253">G190+H190+L190+P190+U190</f>
        <v>25.89</v>
      </c>
      <c r="W190" s="174">
        <v>0</v>
      </c>
      <c r="X190" s="174">
        <f aca="true" t="shared" si="42" ref="X190:X253">V190+W190</f>
        <v>25.89</v>
      </c>
      <c r="Y190" s="175">
        <v>0</v>
      </c>
      <c r="Z190" s="174">
        <f aca="true" t="shared" si="43" ref="Z190:Z253">X190+Y190</f>
        <v>25.89</v>
      </c>
    </row>
    <row r="191" spans="1:26" ht="12.75" hidden="1" outlineLevel="1">
      <c r="A191" s="174" t="s">
        <v>1787</v>
      </c>
      <c r="C191" s="175" t="s">
        <v>1788</v>
      </c>
      <c r="D191" s="175" t="s">
        <v>1789</v>
      </c>
      <c r="E191" s="174">
        <v>0</v>
      </c>
      <c r="F191" s="174">
        <v>87889.05</v>
      </c>
      <c r="G191" s="175">
        <f t="shared" si="37"/>
        <v>87889.05</v>
      </c>
      <c r="H191" s="174">
        <v>10121.25</v>
      </c>
      <c r="I191" s="174">
        <v>0</v>
      </c>
      <c r="J191" s="174">
        <v>0</v>
      </c>
      <c r="K191" s="174">
        <v>0</v>
      </c>
      <c r="L191" s="174">
        <f t="shared" si="38"/>
        <v>0</v>
      </c>
      <c r="M191" s="174">
        <v>0</v>
      </c>
      <c r="N191" s="174">
        <v>0</v>
      </c>
      <c r="O191" s="174">
        <v>0</v>
      </c>
      <c r="P191" s="174">
        <f t="shared" si="39"/>
        <v>0</v>
      </c>
      <c r="Q191" s="175">
        <v>29514.7</v>
      </c>
      <c r="R191" s="175">
        <v>0</v>
      </c>
      <c r="S191" s="175">
        <v>0</v>
      </c>
      <c r="T191" s="175">
        <v>0</v>
      </c>
      <c r="U191" s="175">
        <f t="shared" si="40"/>
        <v>29514.7</v>
      </c>
      <c r="V191" s="175">
        <f t="shared" si="41"/>
        <v>127525</v>
      </c>
      <c r="W191" s="174">
        <v>0</v>
      </c>
      <c r="X191" s="174">
        <f t="shared" si="42"/>
        <v>127525</v>
      </c>
      <c r="Y191" s="175">
        <v>0</v>
      </c>
      <c r="Z191" s="174">
        <f t="shared" si="43"/>
        <v>127525</v>
      </c>
    </row>
    <row r="192" spans="1:26" ht="12.75" hidden="1" outlineLevel="1">
      <c r="A192" s="174" t="s">
        <v>1790</v>
      </c>
      <c r="C192" s="175" t="s">
        <v>1791</v>
      </c>
      <c r="D192" s="175" t="s">
        <v>1792</v>
      </c>
      <c r="E192" s="174">
        <v>0</v>
      </c>
      <c r="F192" s="174">
        <v>95491.65</v>
      </c>
      <c r="G192" s="175">
        <f t="shared" si="37"/>
        <v>95491.65</v>
      </c>
      <c r="H192" s="174">
        <v>26555</v>
      </c>
      <c r="I192" s="174">
        <v>0</v>
      </c>
      <c r="J192" s="174">
        <v>0</v>
      </c>
      <c r="K192" s="174">
        <v>0</v>
      </c>
      <c r="L192" s="174">
        <f t="shared" si="38"/>
        <v>0</v>
      </c>
      <c r="M192" s="174">
        <v>0</v>
      </c>
      <c r="N192" s="174">
        <v>0</v>
      </c>
      <c r="O192" s="174">
        <v>0</v>
      </c>
      <c r="P192" s="174">
        <f t="shared" si="39"/>
        <v>0</v>
      </c>
      <c r="Q192" s="175">
        <v>0</v>
      </c>
      <c r="R192" s="175">
        <v>0</v>
      </c>
      <c r="S192" s="175">
        <v>0</v>
      </c>
      <c r="T192" s="175">
        <v>0</v>
      </c>
      <c r="U192" s="175">
        <f t="shared" si="40"/>
        <v>0</v>
      </c>
      <c r="V192" s="175">
        <f t="shared" si="41"/>
        <v>122046.65</v>
      </c>
      <c r="W192" s="174">
        <v>0</v>
      </c>
      <c r="X192" s="174">
        <f t="shared" si="42"/>
        <v>122046.65</v>
      </c>
      <c r="Y192" s="175">
        <v>0</v>
      </c>
      <c r="Z192" s="174">
        <f t="shared" si="43"/>
        <v>122046.65</v>
      </c>
    </row>
    <row r="193" spans="1:26" ht="12.75" hidden="1" outlineLevel="1">
      <c r="A193" s="174" t="s">
        <v>1793</v>
      </c>
      <c r="C193" s="175" t="s">
        <v>1794</v>
      </c>
      <c r="D193" s="175" t="s">
        <v>1795</v>
      </c>
      <c r="E193" s="174">
        <v>0</v>
      </c>
      <c r="F193" s="174">
        <v>1227332.56</v>
      </c>
      <c r="G193" s="175">
        <f t="shared" si="37"/>
        <v>1227332.56</v>
      </c>
      <c r="H193" s="174">
        <v>207485.1</v>
      </c>
      <c r="I193" s="174">
        <v>0</v>
      </c>
      <c r="J193" s="174">
        <v>0</v>
      </c>
      <c r="K193" s="174">
        <v>0</v>
      </c>
      <c r="L193" s="174">
        <f t="shared" si="38"/>
        <v>0</v>
      </c>
      <c r="M193" s="174">
        <v>0</v>
      </c>
      <c r="N193" s="174">
        <v>0</v>
      </c>
      <c r="O193" s="174">
        <v>0</v>
      </c>
      <c r="P193" s="174">
        <f t="shared" si="39"/>
        <v>0</v>
      </c>
      <c r="Q193" s="175">
        <v>0</v>
      </c>
      <c r="R193" s="175">
        <v>0</v>
      </c>
      <c r="S193" s="175">
        <v>0</v>
      </c>
      <c r="T193" s="175">
        <v>0</v>
      </c>
      <c r="U193" s="175">
        <f t="shared" si="40"/>
        <v>0</v>
      </c>
      <c r="V193" s="175">
        <f t="shared" si="41"/>
        <v>1434817.6600000001</v>
      </c>
      <c r="W193" s="174">
        <v>0</v>
      </c>
      <c r="X193" s="174">
        <f t="shared" si="42"/>
        <v>1434817.6600000001</v>
      </c>
      <c r="Y193" s="175">
        <v>801.32</v>
      </c>
      <c r="Z193" s="174">
        <f t="shared" si="43"/>
        <v>1435618.9800000002</v>
      </c>
    </row>
    <row r="194" spans="1:26" ht="12.75" hidden="1" outlineLevel="1">
      <c r="A194" s="174" t="s">
        <v>1796</v>
      </c>
      <c r="C194" s="175" t="s">
        <v>1797</v>
      </c>
      <c r="D194" s="175" t="s">
        <v>1798</v>
      </c>
      <c r="E194" s="174">
        <v>0</v>
      </c>
      <c r="F194" s="174">
        <v>6160.23</v>
      </c>
      <c r="G194" s="175">
        <f t="shared" si="37"/>
        <v>6160.23</v>
      </c>
      <c r="H194" s="174">
        <v>2814.77</v>
      </c>
      <c r="I194" s="174">
        <v>0</v>
      </c>
      <c r="J194" s="174">
        <v>0</v>
      </c>
      <c r="K194" s="174">
        <v>0</v>
      </c>
      <c r="L194" s="174">
        <f t="shared" si="38"/>
        <v>0</v>
      </c>
      <c r="M194" s="174">
        <v>0</v>
      </c>
      <c r="N194" s="174">
        <v>0</v>
      </c>
      <c r="O194" s="174">
        <v>0</v>
      </c>
      <c r="P194" s="174">
        <f t="shared" si="39"/>
        <v>0</v>
      </c>
      <c r="Q194" s="175">
        <v>0</v>
      </c>
      <c r="R194" s="175">
        <v>0</v>
      </c>
      <c r="S194" s="175">
        <v>0</v>
      </c>
      <c r="T194" s="175">
        <v>0</v>
      </c>
      <c r="U194" s="175">
        <f t="shared" si="40"/>
        <v>0</v>
      </c>
      <c r="V194" s="175">
        <f t="shared" si="41"/>
        <v>8975</v>
      </c>
      <c r="W194" s="174">
        <v>0</v>
      </c>
      <c r="X194" s="174">
        <f t="shared" si="42"/>
        <v>8975</v>
      </c>
      <c r="Y194" s="175">
        <v>0</v>
      </c>
      <c r="Z194" s="174">
        <f t="shared" si="43"/>
        <v>8975</v>
      </c>
    </row>
    <row r="195" spans="1:26" ht="12.75" hidden="1" outlineLevel="1">
      <c r="A195" s="174" t="s">
        <v>1799</v>
      </c>
      <c r="C195" s="175" t="s">
        <v>1800</v>
      </c>
      <c r="D195" s="175" t="s">
        <v>1801</v>
      </c>
      <c r="E195" s="174">
        <v>0</v>
      </c>
      <c r="F195" s="174">
        <v>198213.51</v>
      </c>
      <c r="G195" s="175">
        <f t="shared" si="37"/>
        <v>198213.51</v>
      </c>
      <c r="H195" s="174">
        <v>22533.34</v>
      </c>
      <c r="I195" s="174">
        <v>0</v>
      </c>
      <c r="J195" s="174">
        <v>0</v>
      </c>
      <c r="K195" s="174">
        <v>0</v>
      </c>
      <c r="L195" s="174">
        <f t="shared" si="38"/>
        <v>0</v>
      </c>
      <c r="M195" s="174">
        <v>0</v>
      </c>
      <c r="N195" s="174">
        <v>0</v>
      </c>
      <c r="O195" s="174">
        <v>0</v>
      </c>
      <c r="P195" s="174">
        <f t="shared" si="39"/>
        <v>0</v>
      </c>
      <c r="Q195" s="175">
        <v>0</v>
      </c>
      <c r="R195" s="175">
        <v>103945</v>
      </c>
      <c r="S195" s="175">
        <v>0</v>
      </c>
      <c r="T195" s="175">
        <v>0</v>
      </c>
      <c r="U195" s="175">
        <f t="shared" si="40"/>
        <v>103945</v>
      </c>
      <c r="V195" s="175">
        <f t="shared" si="41"/>
        <v>324691.85</v>
      </c>
      <c r="W195" s="174">
        <v>0</v>
      </c>
      <c r="X195" s="174">
        <f t="shared" si="42"/>
        <v>324691.85</v>
      </c>
      <c r="Y195" s="175">
        <v>0</v>
      </c>
      <c r="Z195" s="174">
        <f t="shared" si="43"/>
        <v>324691.85</v>
      </c>
    </row>
    <row r="196" spans="1:26" ht="12.75" hidden="1" outlineLevel="1">
      <c r="A196" s="174" t="s">
        <v>1802</v>
      </c>
      <c r="C196" s="175" t="s">
        <v>1803</v>
      </c>
      <c r="D196" s="175" t="s">
        <v>1804</v>
      </c>
      <c r="E196" s="174">
        <v>0</v>
      </c>
      <c r="F196" s="174">
        <v>283873.87</v>
      </c>
      <c r="G196" s="175">
        <f t="shared" si="37"/>
        <v>283873.87</v>
      </c>
      <c r="H196" s="174">
        <v>110194.98</v>
      </c>
      <c r="I196" s="174">
        <v>0</v>
      </c>
      <c r="J196" s="174">
        <v>0</v>
      </c>
      <c r="K196" s="174">
        <v>0</v>
      </c>
      <c r="L196" s="174">
        <f t="shared" si="38"/>
        <v>0</v>
      </c>
      <c r="M196" s="174">
        <v>0</v>
      </c>
      <c r="N196" s="174">
        <v>0</v>
      </c>
      <c r="O196" s="174">
        <v>0</v>
      </c>
      <c r="P196" s="174">
        <f t="shared" si="39"/>
        <v>0</v>
      </c>
      <c r="Q196" s="175">
        <v>30463.71</v>
      </c>
      <c r="R196" s="175">
        <v>0</v>
      </c>
      <c r="S196" s="175">
        <v>0</v>
      </c>
      <c r="T196" s="175">
        <v>0</v>
      </c>
      <c r="U196" s="175">
        <f t="shared" si="40"/>
        <v>30463.71</v>
      </c>
      <c r="V196" s="175">
        <f t="shared" si="41"/>
        <v>424532.56</v>
      </c>
      <c r="W196" s="174">
        <v>0</v>
      </c>
      <c r="X196" s="174">
        <f t="shared" si="42"/>
        <v>424532.56</v>
      </c>
      <c r="Y196" s="175">
        <v>0</v>
      </c>
      <c r="Z196" s="174">
        <f t="shared" si="43"/>
        <v>424532.56</v>
      </c>
    </row>
    <row r="197" spans="1:26" ht="12.75" hidden="1" outlineLevel="1">
      <c r="A197" s="174" t="s">
        <v>1805</v>
      </c>
      <c r="C197" s="175" t="s">
        <v>1806</v>
      </c>
      <c r="D197" s="175" t="s">
        <v>1807</v>
      </c>
      <c r="E197" s="174">
        <v>0</v>
      </c>
      <c r="F197" s="174">
        <v>36486.58</v>
      </c>
      <c r="G197" s="175">
        <f t="shared" si="37"/>
        <v>36486.58</v>
      </c>
      <c r="H197" s="174">
        <v>4199</v>
      </c>
      <c r="I197" s="174">
        <v>0</v>
      </c>
      <c r="J197" s="174">
        <v>0</v>
      </c>
      <c r="K197" s="174">
        <v>0</v>
      </c>
      <c r="L197" s="174">
        <f t="shared" si="38"/>
        <v>0</v>
      </c>
      <c r="M197" s="174">
        <v>0</v>
      </c>
      <c r="N197" s="174">
        <v>0</v>
      </c>
      <c r="O197" s="174">
        <v>0</v>
      </c>
      <c r="P197" s="174">
        <f t="shared" si="39"/>
        <v>0</v>
      </c>
      <c r="Q197" s="175">
        <v>0</v>
      </c>
      <c r="R197" s="175">
        <v>0</v>
      </c>
      <c r="S197" s="175">
        <v>0</v>
      </c>
      <c r="T197" s="175">
        <v>0</v>
      </c>
      <c r="U197" s="175">
        <f t="shared" si="40"/>
        <v>0</v>
      </c>
      <c r="V197" s="175">
        <f t="shared" si="41"/>
        <v>40685.58</v>
      </c>
      <c r="W197" s="174">
        <v>0</v>
      </c>
      <c r="X197" s="174">
        <f t="shared" si="42"/>
        <v>40685.58</v>
      </c>
      <c r="Y197" s="175">
        <v>0</v>
      </c>
      <c r="Z197" s="174">
        <f t="shared" si="43"/>
        <v>40685.58</v>
      </c>
    </row>
    <row r="198" spans="1:26" ht="12.75" hidden="1" outlineLevel="1">
      <c r="A198" s="174" t="s">
        <v>1808</v>
      </c>
      <c r="C198" s="175" t="s">
        <v>1809</v>
      </c>
      <c r="D198" s="175" t="s">
        <v>1810</v>
      </c>
      <c r="E198" s="174">
        <v>0</v>
      </c>
      <c r="F198" s="174">
        <v>96524.45</v>
      </c>
      <c r="G198" s="175">
        <f t="shared" si="37"/>
        <v>96524.45</v>
      </c>
      <c r="H198" s="174">
        <v>43289.46</v>
      </c>
      <c r="I198" s="174">
        <v>0</v>
      </c>
      <c r="J198" s="174">
        <v>0</v>
      </c>
      <c r="K198" s="174">
        <v>0</v>
      </c>
      <c r="L198" s="174">
        <f t="shared" si="38"/>
        <v>0</v>
      </c>
      <c r="M198" s="174">
        <v>0</v>
      </c>
      <c r="N198" s="174">
        <v>0</v>
      </c>
      <c r="O198" s="174">
        <v>0</v>
      </c>
      <c r="P198" s="174">
        <f t="shared" si="39"/>
        <v>0</v>
      </c>
      <c r="Q198" s="175">
        <v>0</v>
      </c>
      <c r="R198" s="175">
        <v>0</v>
      </c>
      <c r="S198" s="175">
        <v>0</v>
      </c>
      <c r="T198" s="175">
        <v>0</v>
      </c>
      <c r="U198" s="175">
        <f t="shared" si="40"/>
        <v>0</v>
      </c>
      <c r="V198" s="175">
        <f t="shared" si="41"/>
        <v>139813.91</v>
      </c>
      <c r="W198" s="174">
        <v>0</v>
      </c>
      <c r="X198" s="174">
        <f t="shared" si="42"/>
        <v>139813.91</v>
      </c>
      <c r="Y198" s="175">
        <v>0</v>
      </c>
      <c r="Z198" s="174">
        <f t="shared" si="43"/>
        <v>139813.91</v>
      </c>
    </row>
    <row r="199" spans="1:26" ht="12.75" hidden="1" outlineLevel="1">
      <c r="A199" s="174" t="s">
        <v>1811</v>
      </c>
      <c r="C199" s="175" t="s">
        <v>1812</v>
      </c>
      <c r="D199" s="175" t="s">
        <v>1813</v>
      </c>
      <c r="E199" s="174">
        <v>0</v>
      </c>
      <c r="F199" s="174">
        <v>406981.96</v>
      </c>
      <c r="G199" s="175">
        <f t="shared" si="37"/>
        <v>406981.96</v>
      </c>
      <c r="H199" s="174">
        <v>12680.33</v>
      </c>
      <c r="I199" s="174">
        <v>0</v>
      </c>
      <c r="J199" s="174">
        <v>0</v>
      </c>
      <c r="K199" s="174">
        <v>0</v>
      </c>
      <c r="L199" s="174">
        <f t="shared" si="38"/>
        <v>0</v>
      </c>
      <c r="M199" s="174">
        <v>0</v>
      </c>
      <c r="N199" s="174">
        <v>0</v>
      </c>
      <c r="O199" s="174">
        <v>0</v>
      </c>
      <c r="P199" s="174">
        <f t="shared" si="39"/>
        <v>0</v>
      </c>
      <c r="Q199" s="175">
        <v>12234</v>
      </c>
      <c r="R199" s="175">
        <v>53773.13</v>
      </c>
      <c r="S199" s="175">
        <v>0</v>
      </c>
      <c r="T199" s="175">
        <v>0</v>
      </c>
      <c r="U199" s="175">
        <f t="shared" si="40"/>
        <v>66007.13</v>
      </c>
      <c r="V199" s="175">
        <f t="shared" si="41"/>
        <v>485669.42000000004</v>
      </c>
      <c r="W199" s="174">
        <v>0</v>
      </c>
      <c r="X199" s="174">
        <f t="shared" si="42"/>
        <v>485669.42000000004</v>
      </c>
      <c r="Y199" s="175">
        <v>0</v>
      </c>
      <c r="Z199" s="174">
        <f t="shared" si="43"/>
        <v>485669.42000000004</v>
      </c>
    </row>
    <row r="200" spans="1:26" ht="12.75" hidden="1" outlineLevel="1">
      <c r="A200" s="174" t="s">
        <v>1814</v>
      </c>
      <c r="C200" s="175" t="s">
        <v>1815</v>
      </c>
      <c r="D200" s="175" t="s">
        <v>1816</v>
      </c>
      <c r="E200" s="174">
        <v>0</v>
      </c>
      <c r="F200" s="174">
        <v>8049.44</v>
      </c>
      <c r="G200" s="175">
        <f t="shared" si="37"/>
        <v>8049.44</v>
      </c>
      <c r="H200" s="174">
        <v>0</v>
      </c>
      <c r="I200" s="174">
        <v>0</v>
      </c>
      <c r="J200" s="174">
        <v>0</v>
      </c>
      <c r="K200" s="174">
        <v>0</v>
      </c>
      <c r="L200" s="174">
        <f t="shared" si="38"/>
        <v>0</v>
      </c>
      <c r="M200" s="174">
        <v>0</v>
      </c>
      <c r="N200" s="174">
        <v>0</v>
      </c>
      <c r="O200" s="174">
        <v>0</v>
      </c>
      <c r="P200" s="174">
        <f t="shared" si="39"/>
        <v>0</v>
      </c>
      <c r="Q200" s="175">
        <v>0</v>
      </c>
      <c r="R200" s="175">
        <v>0</v>
      </c>
      <c r="S200" s="175">
        <v>0</v>
      </c>
      <c r="T200" s="175">
        <v>0</v>
      </c>
      <c r="U200" s="175">
        <f t="shared" si="40"/>
        <v>0</v>
      </c>
      <c r="V200" s="175">
        <f t="shared" si="41"/>
        <v>8049.44</v>
      </c>
      <c r="W200" s="174">
        <v>0</v>
      </c>
      <c r="X200" s="174">
        <f t="shared" si="42"/>
        <v>8049.44</v>
      </c>
      <c r="Y200" s="175">
        <v>0</v>
      </c>
      <c r="Z200" s="174">
        <f t="shared" si="43"/>
        <v>8049.44</v>
      </c>
    </row>
    <row r="201" spans="1:26" ht="12.75" hidden="1" outlineLevel="1">
      <c r="A201" s="174" t="s">
        <v>1817</v>
      </c>
      <c r="C201" s="175" t="s">
        <v>1818</v>
      </c>
      <c r="D201" s="175" t="s">
        <v>1819</v>
      </c>
      <c r="E201" s="174">
        <v>0</v>
      </c>
      <c r="F201" s="174">
        <v>3785</v>
      </c>
      <c r="G201" s="175">
        <f t="shared" si="37"/>
        <v>3785</v>
      </c>
      <c r="H201" s="174">
        <v>0</v>
      </c>
      <c r="I201" s="174">
        <v>0</v>
      </c>
      <c r="J201" s="174">
        <v>0</v>
      </c>
      <c r="K201" s="174">
        <v>0</v>
      </c>
      <c r="L201" s="174">
        <f t="shared" si="38"/>
        <v>0</v>
      </c>
      <c r="M201" s="174">
        <v>0</v>
      </c>
      <c r="N201" s="174">
        <v>0</v>
      </c>
      <c r="O201" s="174">
        <v>0</v>
      </c>
      <c r="P201" s="174">
        <f t="shared" si="39"/>
        <v>0</v>
      </c>
      <c r="Q201" s="175">
        <v>0</v>
      </c>
      <c r="R201" s="175">
        <v>0</v>
      </c>
      <c r="S201" s="175">
        <v>0</v>
      </c>
      <c r="T201" s="175">
        <v>0</v>
      </c>
      <c r="U201" s="175">
        <f t="shared" si="40"/>
        <v>0</v>
      </c>
      <c r="V201" s="175">
        <f t="shared" si="41"/>
        <v>3785</v>
      </c>
      <c r="W201" s="174">
        <v>0</v>
      </c>
      <c r="X201" s="174">
        <f t="shared" si="42"/>
        <v>3785</v>
      </c>
      <c r="Y201" s="175">
        <v>0</v>
      </c>
      <c r="Z201" s="174">
        <f t="shared" si="43"/>
        <v>3785</v>
      </c>
    </row>
    <row r="202" spans="1:26" ht="12.75" hidden="1" outlineLevel="1">
      <c r="A202" s="174" t="s">
        <v>1820</v>
      </c>
      <c r="C202" s="175" t="s">
        <v>1821</v>
      </c>
      <c r="D202" s="175" t="s">
        <v>1822</v>
      </c>
      <c r="E202" s="174">
        <v>0</v>
      </c>
      <c r="F202" s="174">
        <v>0</v>
      </c>
      <c r="G202" s="175">
        <f t="shared" si="37"/>
        <v>0</v>
      </c>
      <c r="H202" s="174">
        <v>39456.5</v>
      </c>
      <c r="I202" s="174">
        <v>0</v>
      </c>
      <c r="J202" s="174">
        <v>0</v>
      </c>
      <c r="K202" s="174">
        <v>0</v>
      </c>
      <c r="L202" s="174">
        <f t="shared" si="38"/>
        <v>0</v>
      </c>
      <c r="M202" s="174">
        <v>0</v>
      </c>
      <c r="N202" s="174">
        <v>0</v>
      </c>
      <c r="O202" s="174">
        <v>0</v>
      </c>
      <c r="P202" s="174">
        <f t="shared" si="39"/>
        <v>0</v>
      </c>
      <c r="Q202" s="175">
        <v>0</v>
      </c>
      <c r="R202" s="175">
        <v>0</v>
      </c>
      <c r="S202" s="175">
        <v>0</v>
      </c>
      <c r="T202" s="175">
        <v>0</v>
      </c>
      <c r="U202" s="175">
        <f t="shared" si="40"/>
        <v>0</v>
      </c>
      <c r="V202" s="175">
        <f t="shared" si="41"/>
        <v>39456.5</v>
      </c>
      <c r="W202" s="174">
        <v>0</v>
      </c>
      <c r="X202" s="174">
        <f t="shared" si="42"/>
        <v>39456.5</v>
      </c>
      <c r="Y202" s="175">
        <v>0</v>
      </c>
      <c r="Z202" s="174">
        <f t="shared" si="43"/>
        <v>39456.5</v>
      </c>
    </row>
    <row r="203" spans="1:26" ht="12.75" hidden="1" outlineLevel="1">
      <c r="A203" s="174" t="s">
        <v>1823</v>
      </c>
      <c r="C203" s="175" t="s">
        <v>1824</v>
      </c>
      <c r="D203" s="175" t="s">
        <v>1825</v>
      </c>
      <c r="E203" s="174">
        <v>0</v>
      </c>
      <c r="F203" s="174">
        <v>23563.41</v>
      </c>
      <c r="G203" s="175">
        <f t="shared" si="37"/>
        <v>23563.41</v>
      </c>
      <c r="H203" s="174">
        <v>5994.44</v>
      </c>
      <c r="I203" s="174">
        <v>0</v>
      </c>
      <c r="J203" s="174">
        <v>0</v>
      </c>
      <c r="K203" s="174">
        <v>0</v>
      </c>
      <c r="L203" s="174">
        <f t="shared" si="38"/>
        <v>0</v>
      </c>
      <c r="M203" s="174">
        <v>0</v>
      </c>
      <c r="N203" s="174">
        <v>0</v>
      </c>
      <c r="O203" s="174">
        <v>0</v>
      </c>
      <c r="P203" s="174">
        <f t="shared" si="39"/>
        <v>0</v>
      </c>
      <c r="Q203" s="175">
        <v>93.94</v>
      </c>
      <c r="R203" s="175">
        <v>0</v>
      </c>
      <c r="S203" s="175">
        <v>0</v>
      </c>
      <c r="T203" s="175">
        <v>0</v>
      </c>
      <c r="U203" s="175">
        <f t="shared" si="40"/>
        <v>93.94</v>
      </c>
      <c r="V203" s="175">
        <f t="shared" si="41"/>
        <v>29651.789999999997</v>
      </c>
      <c r="W203" s="174">
        <v>0</v>
      </c>
      <c r="X203" s="174">
        <f t="shared" si="42"/>
        <v>29651.789999999997</v>
      </c>
      <c r="Y203" s="175">
        <v>0</v>
      </c>
      <c r="Z203" s="174">
        <f t="shared" si="43"/>
        <v>29651.789999999997</v>
      </c>
    </row>
    <row r="204" spans="1:26" ht="12.75" hidden="1" outlineLevel="1">
      <c r="A204" s="174" t="s">
        <v>1826</v>
      </c>
      <c r="C204" s="175" t="s">
        <v>1827</v>
      </c>
      <c r="D204" s="175" t="s">
        <v>1828</v>
      </c>
      <c r="E204" s="174">
        <v>0</v>
      </c>
      <c r="F204" s="174">
        <v>820.5</v>
      </c>
      <c r="G204" s="175">
        <f t="shared" si="37"/>
        <v>820.5</v>
      </c>
      <c r="H204" s="174">
        <v>1931.5</v>
      </c>
      <c r="I204" s="174">
        <v>0</v>
      </c>
      <c r="J204" s="174">
        <v>0</v>
      </c>
      <c r="K204" s="174">
        <v>0</v>
      </c>
      <c r="L204" s="174">
        <f t="shared" si="38"/>
        <v>0</v>
      </c>
      <c r="M204" s="174">
        <v>0</v>
      </c>
      <c r="N204" s="174">
        <v>0</v>
      </c>
      <c r="O204" s="174">
        <v>0</v>
      </c>
      <c r="P204" s="174">
        <f t="shared" si="39"/>
        <v>0</v>
      </c>
      <c r="Q204" s="175">
        <v>0</v>
      </c>
      <c r="R204" s="175">
        <v>0</v>
      </c>
      <c r="S204" s="175">
        <v>0</v>
      </c>
      <c r="T204" s="175">
        <v>0</v>
      </c>
      <c r="U204" s="175">
        <f t="shared" si="40"/>
        <v>0</v>
      </c>
      <c r="V204" s="175">
        <f t="shared" si="41"/>
        <v>2752</v>
      </c>
      <c r="W204" s="174">
        <v>0</v>
      </c>
      <c r="X204" s="174">
        <f t="shared" si="42"/>
        <v>2752</v>
      </c>
      <c r="Y204" s="175">
        <v>0</v>
      </c>
      <c r="Z204" s="174">
        <f t="shared" si="43"/>
        <v>2752</v>
      </c>
    </row>
    <row r="205" spans="1:26" ht="12.75" hidden="1" outlineLevel="1">
      <c r="A205" s="174" t="s">
        <v>1829</v>
      </c>
      <c r="C205" s="175" t="s">
        <v>1830</v>
      </c>
      <c r="D205" s="175" t="s">
        <v>1831</v>
      </c>
      <c r="E205" s="174">
        <v>0</v>
      </c>
      <c r="F205" s="174">
        <v>0</v>
      </c>
      <c r="G205" s="175">
        <f t="shared" si="37"/>
        <v>0</v>
      </c>
      <c r="H205" s="174">
        <v>6332.94</v>
      </c>
      <c r="I205" s="174">
        <v>0</v>
      </c>
      <c r="J205" s="174">
        <v>0</v>
      </c>
      <c r="K205" s="174">
        <v>0</v>
      </c>
      <c r="L205" s="174">
        <f t="shared" si="38"/>
        <v>0</v>
      </c>
      <c r="M205" s="174">
        <v>0</v>
      </c>
      <c r="N205" s="174">
        <v>0</v>
      </c>
      <c r="O205" s="174">
        <v>0</v>
      </c>
      <c r="P205" s="174">
        <f t="shared" si="39"/>
        <v>0</v>
      </c>
      <c r="Q205" s="175">
        <v>0</v>
      </c>
      <c r="R205" s="175">
        <v>0</v>
      </c>
      <c r="S205" s="175">
        <v>0</v>
      </c>
      <c r="T205" s="175">
        <v>0</v>
      </c>
      <c r="U205" s="175">
        <f t="shared" si="40"/>
        <v>0</v>
      </c>
      <c r="V205" s="175">
        <f t="shared" si="41"/>
        <v>6332.94</v>
      </c>
      <c r="W205" s="174">
        <v>0</v>
      </c>
      <c r="X205" s="174">
        <f t="shared" si="42"/>
        <v>6332.94</v>
      </c>
      <c r="Y205" s="175">
        <v>0</v>
      </c>
      <c r="Z205" s="174">
        <f t="shared" si="43"/>
        <v>6332.94</v>
      </c>
    </row>
    <row r="206" spans="1:26" ht="12.75" hidden="1" outlineLevel="1">
      <c r="A206" s="174" t="s">
        <v>1832</v>
      </c>
      <c r="C206" s="175" t="s">
        <v>1833</v>
      </c>
      <c r="D206" s="175" t="s">
        <v>1834</v>
      </c>
      <c r="E206" s="174">
        <v>0</v>
      </c>
      <c r="F206" s="174">
        <v>8767.45</v>
      </c>
      <c r="G206" s="175">
        <f t="shared" si="37"/>
        <v>8767.45</v>
      </c>
      <c r="H206" s="174">
        <v>0</v>
      </c>
      <c r="I206" s="174">
        <v>0</v>
      </c>
      <c r="J206" s="174">
        <v>0</v>
      </c>
      <c r="K206" s="174">
        <v>0</v>
      </c>
      <c r="L206" s="174">
        <f t="shared" si="38"/>
        <v>0</v>
      </c>
      <c r="M206" s="174">
        <v>0</v>
      </c>
      <c r="N206" s="174">
        <v>0</v>
      </c>
      <c r="O206" s="174">
        <v>0</v>
      </c>
      <c r="P206" s="174">
        <f t="shared" si="39"/>
        <v>0</v>
      </c>
      <c r="Q206" s="175">
        <v>0</v>
      </c>
      <c r="R206" s="175">
        <v>0</v>
      </c>
      <c r="S206" s="175">
        <v>0</v>
      </c>
      <c r="T206" s="175">
        <v>0</v>
      </c>
      <c r="U206" s="175">
        <f t="shared" si="40"/>
        <v>0</v>
      </c>
      <c r="V206" s="175">
        <f t="shared" si="41"/>
        <v>8767.45</v>
      </c>
      <c r="W206" s="174">
        <v>0</v>
      </c>
      <c r="X206" s="174">
        <f t="shared" si="42"/>
        <v>8767.45</v>
      </c>
      <c r="Y206" s="175">
        <v>0</v>
      </c>
      <c r="Z206" s="174">
        <f t="shared" si="43"/>
        <v>8767.45</v>
      </c>
    </row>
    <row r="207" spans="1:26" ht="12.75" hidden="1" outlineLevel="1">
      <c r="A207" s="174" t="s">
        <v>1835</v>
      </c>
      <c r="C207" s="175" t="s">
        <v>1836</v>
      </c>
      <c r="D207" s="175" t="s">
        <v>1837</v>
      </c>
      <c r="E207" s="174">
        <v>0</v>
      </c>
      <c r="F207" s="174">
        <v>18873.02</v>
      </c>
      <c r="G207" s="175">
        <f t="shared" si="37"/>
        <v>18873.02</v>
      </c>
      <c r="H207" s="174">
        <v>674</v>
      </c>
      <c r="I207" s="174">
        <v>0</v>
      </c>
      <c r="J207" s="174">
        <v>0</v>
      </c>
      <c r="K207" s="174">
        <v>0</v>
      </c>
      <c r="L207" s="174">
        <f t="shared" si="38"/>
        <v>0</v>
      </c>
      <c r="M207" s="174">
        <v>0</v>
      </c>
      <c r="N207" s="174">
        <v>0</v>
      </c>
      <c r="O207" s="174">
        <v>0</v>
      </c>
      <c r="P207" s="174">
        <f t="shared" si="39"/>
        <v>0</v>
      </c>
      <c r="Q207" s="175">
        <v>0</v>
      </c>
      <c r="R207" s="175">
        <v>0</v>
      </c>
      <c r="S207" s="175">
        <v>0</v>
      </c>
      <c r="T207" s="175">
        <v>0</v>
      </c>
      <c r="U207" s="175">
        <f t="shared" si="40"/>
        <v>0</v>
      </c>
      <c r="V207" s="175">
        <f t="shared" si="41"/>
        <v>19547.02</v>
      </c>
      <c r="W207" s="174">
        <v>0</v>
      </c>
      <c r="X207" s="174">
        <f t="shared" si="42"/>
        <v>19547.02</v>
      </c>
      <c r="Y207" s="175">
        <v>0</v>
      </c>
      <c r="Z207" s="174">
        <f t="shared" si="43"/>
        <v>19547.02</v>
      </c>
    </row>
    <row r="208" spans="1:26" ht="12.75" hidden="1" outlineLevel="1">
      <c r="A208" s="174" t="s">
        <v>1838</v>
      </c>
      <c r="C208" s="175" t="s">
        <v>1839</v>
      </c>
      <c r="D208" s="175" t="s">
        <v>1840</v>
      </c>
      <c r="E208" s="174">
        <v>0</v>
      </c>
      <c r="F208" s="174">
        <v>3141</v>
      </c>
      <c r="G208" s="175">
        <f t="shared" si="37"/>
        <v>3141</v>
      </c>
      <c r="H208" s="174">
        <v>0</v>
      </c>
      <c r="I208" s="174">
        <v>0</v>
      </c>
      <c r="J208" s="174">
        <v>0</v>
      </c>
      <c r="K208" s="174">
        <v>0</v>
      </c>
      <c r="L208" s="174">
        <f t="shared" si="38"/>
        <v>0</v>
      </c>
      <c r="M208" s="174">
        <v>0</v>
      </c>
      <c r="N208" s="174">
        <v>0</v>
      </c>
      <c r="O208" s="174">
        <v>0</v>
      </c>
      <c r="P208" s="174">
        <f t="shared" si="39"/>
        <v>0</v>
      </c>
      <c r="Q208" s="175">
        <v>0</v>
      </c>
      <c r="R208" s="175">
        <v>0</v>
      </c>
      <c r="S208" s="175">
        <v>0</v>
      </c>
      <c r="T208" s="175">
        <v>0</v>
      </c>
      <c r="U208" s="175">
        <f t="shared" si="40"/>
        <v>0</v>
      </c>
      <c r="V208" s="175">
        <f t="shared" si="41"/>
        <v>3141</v>
      </c>
      <c r="W208" s="174">
        <v>0</v>
      </c>
      <c r="X208" s="174">
        <f t="shared" si="42"/>
        <v>3141</v>
      </c>
      <c r="Y208" s="175">
        <v>0</v>
      </c>
      <c r="Z208" s="174">
        <f t="shared" si="43"/>
        <v>3141</v>
      </c>
    </row>
    <row r="209" spans="1:26" ht="12.75" hidden="1" outlineLevel="1">
      <c r="A209" s="174" t="s">
        <v>1841</v>
      </c>
      <c r="C209" s="175" t="s">
        <v>1842</v>
      </c>
      <c r="D209" s="175" t="s">
        <v>1843</v>
      </c>
      <c r="E209" s="174">
        <v>0</v>
      </c>
      <c r="F209" s="174">
        <v>5153589.791999999</v>
      </c>
      <c r="G209" s="175">
        <f t="shared" si="37"/>
        <v>5153589.791999999</v>
      </c>
      <c r="H209" s="174">
        <v>5276.780000000008</v>
      </c>
      <c r="I209" s="174">
        <v>0</v>
      </c>
      <c r="J209" s="174">
        <v>0</v>
      </c>
      <c r="K209" s="174">
        <v>0</v>
      </c>
      <c r="L209" s="174">
        <f t="shared" si="38"/>
        <v>0</v>
      </c>
      <c r="M209" s="174">
        <v>0</v>
      </c>
      <c r="N209" s="174">
        <v>0</v>
      </c>
      <c r="O209" s="174">
        <v>0</v>
      </c>
      <c r="P209" s="174">
        <f t="shared" si="39"/>
        <v>0</v>
      </c>
      <c r="Q209" s="175">
        <v>9671.58</v>
      </c>
      <c r="R209" s="175">
        <v>2231.81</v>
      </c>
      <c r="S209" s="175">
        <v>0</v>
      </c>
      <c r="T209" s="175">
        <v>0</v>
      </c>
      <c r="U209" s="175">
        <f t="shared" si="40"/>
        <v>11903.39</v>
      </c>
      <c r="V209" s="175">
        <f t="shared" si="41"/>
        <v>5170769.961999999</v>
      </c>
      <c r="W209" s="174">
        <v>0</v>
      </c>
      <c r="X209" s="174">
        <f t="shared" si="42"/>
        <v>5170769.961999999</v>
      </c>
      <c r="Y209" s="175">
        <v>12426846.7</v>
      </c>
      <c r="Z209" s="174">
        <f t="shared" si="43"/>
        <v>17597616.662</v>
      </c>
    </row>
    <row r="210" spans="1:26" ht="12.75" hidden="1" outlineLevel="1">
      <c r="A210" s="174" t="s">
        <v>1844</v>
      </c>
      <c r="C210" s="175" t="s">
        <v>1845</v>
      </c>
      <c r="D210" s="175" t="s">
        <v>1846</v>
      </c>
      <c r="E210" s="174">
        <v>0</v>
      </c>
      <c r="F210" s="174">
        <v>-0.63</v>
      </c>
      <c r="G210" s="175">
        <f t="shared" si="37"/>
        <v>-0.63</v>
      </c>
      <c r="H210" s="174">
        <v>0</v>
      </c>
      <c r="I210" s="174">
        <v>0</v>
      </c>
      <c r="J210" s="174">
        <v>0</v>
      </c>
      <c r="K210" s="174">
        <v>0</v>
      </c>
      <c r="L210" s="174">
        <f t="shared" si="38"/>
        <v>0</v>
      </c>
      <c r="M210" s="174">
        <v>0</v>
      </c>
      <c r="N210" s="174">
        <v>0</v>
      </c>
      <c r="O210" s="174">
        <v>0</v>
      </c>
      <c r="P210" s="174">
        <f t="shared" si="39"/>
        <v>0</v>
      </c>
      <c r="Q210" s="175">
        <v>0</v>
      </c>
      <c r="R210" s="175">
        <v>0</v>
      </c>
      <c r="S210" s="175">
        <v>0</v>
      </c>
      <c r="T210" s="175">
        <v>0</v>
      </c>
      <c r="U210" s="175">
        <f t="shared" si="40"/>
        <v>0</v>
      </c>
      <c r="V210" s="175">
        <f t="shared" si="41"/>
        <v>-0.63</v>
      </c>
      <c r="W210" s="174">
        <v>0</v>
      </c>
      <c r="X210" s="174">
        <f t="shared" si="42"/>
        <v>-0.63</v>
      </c>
      <c r="Y210" s="175">
        <v>0</v>
      </c>
      <c r="Z210" s="174">
        <f t="shared" si="43"/>
        <v>-0.63</v>
      </c>
    </row>
    <row r="211" spans="1:26" ht="12.75" hidden="1" outlineLevel="1">
      <c r="A211" s="174" t="s">
        <v>1847</v>
      </c>
      <c r="C211" s="175" t="s">
        <v>1848</v>
      </c>
      <c r="D211" s="175" t="s">
        <v>1849</v>
      </c>
      <c r="E211" s="174">
        <v>0</v>
      </c>
      <c r="F211" s="174">
        <v>10474.8</v>
      </c>
      <c r="G211" s="175">
        <f t="shared" si="37"/>
        <v>10474.8</v>
      </c>
      <c r="H211" s="174">
        <v>0</v>
      </c>
      <c r="I211" s="174">
        <v>0</v>
      </c>
      <c r="J211" s="174">
        <v>0</v>
      </c>
      <c r="K211" s="174">
        <v>0</v>
      </c>
      <c r="L211" s="174">
        <f t="shared" si="38"/>
        <v>0</v>
      </c>
      <c r="M211" s="174">
        <v>0</v>
      </c>
      <c r="N211" s="174">
        <v>0</v>
      </c>
      <c r="O211" s="174">
        <v>0</v>
      </c>
      <c r="P211" s="174">
        <f t="shared" si="39"/>
        <v>0</v>
      </c>
      <c r="Q211" s="175">
        <v>0</v>
      </c>
      <c r="R211" s="175">
        <v>0</v>
      </c>
      <c r="S211" s="175">
        <v>0</v>
      </c>
      <c r="T211" s="175">
        <v>0</v>
      </c>
      <c r="U211" s="175">
        <f t="shared" si="40"/>
        <v>0</v>
      </c>
      <c r="V211" s="175">
        <f t="shared" si="41"/>
        <v>10474.8</v>
      </c>
      <c r="W211" s="174">
        <v>0</v>
      </c>
      <c r="X211" s="174">
        <f t="shared" si="42"/>
        <v>10474.8</v>
      </c>
      <c r="Y211" s="175">
        <v>0</v>
      </c>
      <c r="Z211" s="174">
        <f t="shared" si="43"/>
        <v>10474.8</v>
      </c>
    </row>
    <row r="212" spans="1:26" ht="12.75" hidden="1" outlineLevel="1">
      <c r="A212" s="174" t="s">
        <v>1850</v>
      </c>
      <c r="C212" s="175" t="s">
        <v>1851</v>
      </c>
      <c r="D212" s="175" t="s">
        <v>1852</v>
      </c>
      <c r="E212" s="174">
        <v>0</v>
      </c>
      <c r="F212" s="174">
        <v>47343.94</v>
      </c>
      <c r="G212" s="175">
        <f t="shared" si="37"/>
        <v>47343.94</v>
      </c>
      <c r="H212" s="174">
        <v>75572.67</v>
      </c>
      <c r="I212" s="174">
        <v>0</v>
      </c>
      <c r="J212" s="174">
        <v>0</v>
      </c>
      <c r="K212" s="174">
        <v>0</v>
      </c>
      <c r="L212" s="174">
        <f t="shared" si="38"/>
        <v>0</v>
      </c>
      <c r="M212" s="174">
        <v>0</v>
      </c>
      <c r="N212" s="174">
        <v>0</v>
      </c>
      <c r="O212" s="174">
        <v>0</v>
      </c>
      <c r="P212" s="174">
        <f t="shared" si="39"/>
        <v>0</v>
      </c>
      <c r="Q212" s="175">
        <v>0</v>
      </c>
      <c r="R212" s="175">
        <v>0</v>
      </c>
      <c r="S212" s="175">
        <v>0</v>
      </c>
      <c r="T212" s="175">
        <v>0</v>
      </c>
      <c r="U212" s="175">
        <f t="shared" si="40"/>
        <v>0</v>
      </c>
      <c r="V212" s="175">
        <f t="shared" si="41"/>
        <v>122916.61</v>
      </c>
      <c r="W212" s="174">
        <v>0</v>
      </c>
      <c r="X212" s="174">
        <f t="shared" si="42"/>
        <v>122916.61</v>
      </c>
      <c r="Y212" s="175">
        <v>0</v>
      </c>
      <c r="Z212" s="174">
        <f t="shared" si="43"/>
        <v>122916.61</v>
      </c>
    </row>
    <row r="213" spans="1:26" ht="12.75" hidden="1" outlineLevel="1">
      <c r="A213" s="174" t="s">
        <v>1853</v>
      </c>
      <c r="C213" s="175" t="s">
        <v>1854</v>
      </c>
      <c r="D213" s="175" t="s">
        <v>1855</v>
      </c>
      <c r="E213" s="174">
        <v>0</v>
      </c>
      <c r="F213" s="174">
        <v>500</v>
      </c>
      <c r="G213" s="175">
        <f t="shared" si="37"/>
        <v>500</v>
      </c>
      <c r="H213" s="174">
        <v>0</v>
      </c>
      <c r="I213" s="174">
        <v>0</v>
      </c>
      <c r="J213" s="174">
        <v>0</v>
      </c>
      <c r="K213" s="174">
        <v>0</v>
      </c>
      <c r="L213" s="174">
        <f t="shared" si="38"/>
        <v>0</v>
      </c>
      <c r="M213" s="174">
        <v>0</v>
      </c>
      <c r="N213" s="174">
        <v>0</v>
      </c>
      <c r="O213" s="174">
        <v>0</v>
      </c>
      <c r="P213" s="174">
        <f t="shared" si="39"/>
        <v>0</v>
      </c>
      <c r="Q213" s="175">
        <v>0</v>
      </c>
      <c r="R213" s="175">
        <v>0</v>
      </c>
      <c r="S213" s="175">
        <v>0</v>
      </c>
      <c r="T213" s="175">
        <v>0</v>
      </c>
      <c r="U213" s="175">
        <f t="shared" si="40"/>
        <v>0</v>
      </c>
      <c r="V213" s="175">
        <f t="shared" si="41"/>
        <v>500</v>
      </c>
      <c r="W213" s="174">
        <v>0</v>
      </c>
      <c r="X213" s="174">
        <f t="shared" si="42"/>
        <v>500</v>
      </c>
      <c r="Y213" s="175">
        <v>0</v>
      </c>
      <c r="Z213" s="174">
        <f t="shared" si="43"/>
        <v>500</v>
      </c>
    </row>
    <row r="214" spans="1:26" ht="12.75" hidden="1" outlineLevel="1">
      <c r="A214" s="174" t="s">
        <v>1856</v>
      </c>
      <c r="C214" s="175" t="s">
        <v>1857</v>
      </c>
      <c r="D214" s="175" t="s">
        <v>1858</v>
      </c>
      <c r="E214" s="174">
        <v>0</v>
      </c>
      <c r="F214" s="174">
        <v>2500</v>
      </c>
      <c r="G214" s="175">
        <f t="shared" si="37"/>
        <v>2500</v>
      </c>
      <c r="H214" s="174">
        <v>0</v>
      </c>
      <c r="I214" s="174">
        <v>0</v>
      </c>
      <c r="J214" s="174">
        <v>0</v>
      </c>
      <c r="K214" s="174">
        <v>0</v>
      </c>
      <c r="L214" s="174">
        <f t="shared" si="38"/>
        <v>0</v>
      </c>
      <c r="M214" s="174">
        <v>0</v>
      </c>
      <c r="N214" s="174">
        <v>0</v>
      </c>
      <c r="O214" s="174">
        <v>0</v>
      </c>
      <c r="P214" s="174">
        <f t="shared" si="39"/>
        <v>0</v>
      </c>
      <c r="Q214" s="175">
        <v>0</v>
      </c>
      <c r="R214" s="175">
        <v>0</v>
      </c>
      <c r="S214" s="175">
        <v>0</v>
      </c>
      <c r="T214" s="175">
        <v>0</v>
      </c>
      <c r="U214" s="175">
        <f t="shared" si="40"/>
        <v>0</v>
      </c>
      <c r="V214" s="175">
        <f t="shared" si="41"/>
        <v>2500</v>
      </c>
      <c r="W214" s="174">
        <v>0</v>
      </c>
      <c r="X214" s="174">
        <f t="shared" si="42"/>
        <v>2500</v>
      </c>
      <c r="Y214" s="175">
        <v>0</v>
      </c>
      <c r="Z214" s="174">
        <f t="shared" si="43"/>
        <v>2500</v>
      </c>
    </row>
    <row r="215" spans="1:26" ht="12.75" hidden="1" outlineLevel="1">
      <c r="A215" s="174" t="s">
        <v>1859</v>
      </c>
      <c r="C215" s="175" t="s">
        <v>1860</v>
      </c>
      <c r="D215" s="175" t="s">
        <v>1861</v>
      </c>
      <c r="E215" s="174">
        <v>0</v>
      </c>
      <c r="F215" s="174">
        <v>3855.36</v>
      </c>
      <c r="G215" s="175">
        <f t="shared" si="37"/>
        <v>3855.36</v>
      </c>
      <c r="H215" s="174">
        <v>2131.46</v>
      </c>
      <c r="I215" s="174">
        <v>0</v>
      </c>
      <c r="J215" s="174">
        <v>0</v>
      </c>
      <c r="K215" s="174">
        <v>0</v>
      </c>
      <c r="L215" s="174">
        <f t="shared" si="38"/>
        <v>0</v>
      </c>
      <c r="M215" s="174">
        <v>0</v>
      </c>
      <c r="N215" s="174">
        <v>0</v>
      </c>
      <c r="O215" s="174">
        <v>0</v>
      </c>
      <c r="P215" s="174">
        <f t="shared" si="39"/>
        <v>0</v>
      </c>
      <c r="Q215" s="175">
        <v>0</v>
      </c>
      <c r="R215" s="175">
        <v>0</v>
      </c>
      <c r="S215" s="175">
        <v>0</v>
      </c>
      <c r="T215" s="175">
        <v>0</v>
      </c>
      <c r="U215" s="175">
        <f t="shared" si="40"/>
        <v>0</v>
      </c>
      <c r="V215" s="175">
        <f t="shared" si="41"/>
        <v>5986.82</v>
      </c>
      <c r="W215" s="174">
        <v>0</v>
      </c>
      <c r="X215" s="174">
        <f t="shared" si="42"/>
        <v>5986.82</v>
      </c>
      <c r="Y215" s="175">
        <v>0</v>
      </c>
      <c r="Z215" s="174">
        <f t="shared" si="43"/>
        <v>5986.82</v>
      </c>
    </row>
    <row r="216" spans="1:26" ht="12.75" hidden="1" outlineLevel="1">
      <c r="A216" s="174" t="s">
        <v>1862</v>
      </c>
      <c r="C216" s="175" t="s">
        <v>1863</v>
      </c>
      <c r="D216" s="175" t="s">
        <v>1864</v>
      </c>
      <c r="E216" s="174">
        <v>0</v>
      </c>
      <c r="F216" s="174">
        <v>1025.59</v>
      </c>
      <c r="G216" s="175">
        <f t="shared" si="37"/>
        <v>1025.59</v>
      </c>
      <c r="H216" s="174">
        <v>0</v>
      </c>
      <c r="I216" s="174">
        <v>0</v>
      </c>
      <c r="J216" s="174">
        <v>0</v>
      </c>
      <c r="K216" s="174">
        <v>0</v>
      </c>
      <c r="L216" s="174">
        <f t="shared" si="38"/>
        <v>0</v>
      </c>
      <c r="M216" s="174">
        <v>0</v>
      </c>
      <c r="N216" s="174">
        <v>0</v>
      </c>
      <c r="O216" s="174">
        <v>0</v>
      </c>
      <c r="P216" s="174">
        <f t="shared" si="39"/>
        <v>0</v>
      </c>
      <c r="Q216" s="175">
        <v>0</v>
      </c>
      <c r="R216" s="175">
        <v>0</v>
      </c>
      <c r="S216" s="175">
        <v>0</v>
      </c>
      <c r="T216" s="175">
        <v>0</v>
      </c>
      <c r="U216" s="175">
        <f t="shared" si="40"/>
        <v>0</v>
      </c>
      <c r="V216" s="175">
        <f t="shared" si="41"/>
        <v>1025.59</v>
      </c>
      <c r="W216" s="174">
        <v>0</v>
      </c>
      <c r="X216" s="174">
        <f t="shared" si="42"/>
        <v>1025.59</v>
      </c>
      <c r="Y216" s="175">
        <v>0</v>
      </c>
      <c r="Z216" s="174">
        <f t="shared" si="43"/>
        <v>1025.59</v>
      </c>
    </row>
    <row r="217" spans="1:26" ht="12.75" hidden="1" outlineLevel="1">
      <c r="A217" s="174" t="s">
        <v>1865</v>
      </c>
      <c r="C217" s="175" t="s">
        <v>1866</v>
      </c>
      <c r="D217" s="175" t="s">
        <v>1867</v>
      </c>
      <c r="E217" s="174">
        <v>0</v>
      </c>
      <c r="F217" s="174">
        <v>43316.21</v>
      </c>
      <c r="G217" s="175">
        <f t="shared" si="37"/>
        <v>43316.21</v>
      </c>
      <c r="H217" s="174">
        <v>74392.33</v>
      </c>
      <c r="I217" s="174">
        <v>0</v>
      </c>
      <c r="J217" s="174">
        <v>0</v>
      </c>
      <c r="K217" s="174">
        <v>0</v>
      </c>
      <c r="L217" s="174">
        <f t="shared" si="38"/>
        <v>0</v>
      </c>
      <c r="M217" s="174">
        <v>0</v>
      </c>
      <c r="N217" s="174">
        <v>0</v>
      </c>
      <c r="O217" s="174">
        <v>0</v>
      </c>
      <c r="P217" s="174">
        <f t="shared" si="39"/>
        <v>0</v>
      </c>
      <c r="Q217" s="175">
        <v>0</v>
      </c>
      <c r="R217" s="175">
        <v>0</v>
      </c>
      <c r="S217" s="175">
        <v>0</v>
      </c>
      <c r="T217" s="175">
        <v>0</v>
      </c>
      <c r="U217" s="175">
        <f t="shared" si="40"/>
        <v>0</v>
      </c>
      <c r="V217" s="175">
        <f t="shared" si="41"/>
        <v>117708.54000000001</v>
      </c>
      <c r="W217" s="174">
        <v>0</v>
      </c>
      <c r="X217" s="174">
        <f t="shared" si="42"/>
        <v>117708.54000000001</v>
      </c>
      <c r="Y217" s="175">
        <v>0</v>
      </c>
      <c r="Z217" s="174">
        <f t="shared" si="43"/>
        <v>117708.54000000001</v>
      </c>
    </row>
    <row r="218" spans="1:26" ht="12.75" hidden="1" outlineLevel="1">
      <c r="A218" s="174" t="s">
        <v>1868</v>
      </c>
      <c r="C218" s="175" t="s">
        <v>1869</v>
      </c>
      <c r="D218" s="175" t="s">
        <v>1870</v>
      </c>
      <c r="E218" s="174">
        <v>0</v>
      </c>
      <c r="F218" s="174">
        <v>30403.08</v>
      </c>
      <c r="G218" s="175">
        <f t="shared" si="37"/>
        <v>30403.08</v>
      </c>
      <c r="H218" s="174">
        <v>0</v>
      </c>
      <c r="I218" s="174">
        <v>0</v>
      </c>
      <c r="J218" s="174">
        <v>0</v>
      </c>
      <c r="K218" s="174">
        <v>0</v>
      </c>
      <c r="L218" s="174">
        <f t="shared" si="38"/>
        <v>0</v>
      </c>
      <c r="M218" s="174">
        <v>0</v>
      </c>
      <c r="N218" s="174">
        <v>0</v>
      </c>
      <c r="O218" s="174">
        <v>0</v>
      </c>
      <c r="P218" s="174">
        <f t="shared" si="39"/>
        <v>0</v>
      </c>
      <c r="Q218" s="175">
        <v>0</v>
      </c>
      <c r="R218" s="175">
        <v>0</v>
      </c>
      <c r="S218" s="175">
        <v>0</v>
      </c>
      <c r="T218" s="175">
        <v>0</v>
      </c>
      <c r="U218" s="175">
        <f t="shared" si="40"/>
        <v>0</v>
      </c>
      <c r="V218" s="175">
        <f t="shared" si="41"/>
        <v>30403.08</v>
      </c>
      <c r="W218" s="174">
        <v>0</v>
      </c>
      <c r="X218" s="174">
        <f t="shared" si="42"/>
        <v>30403.08</v>
      </c>
      <c r="Y218" s="175">
        <v>0</v>
      </c>
      <c r="Z218" s="174">
        <f t="shared" si="43"/>
        <v>30403.08</v>
      </c>
    </row>
    <row r="219" spans="1:26" ht="12.75" hidden="1" outlineLevel="1">
      <c r="A219" s="174" t="s">
        <v>1871</v>
      </c>
      <c r="C219" s="175" t="s">
        <v>1872</v>
      </c>
      <c r="D219" s="175" t="s">
        <v>1873</v>
      </c>
      <c r="E219" s="174">
        <v>0</v>
      </c>
      <c r="F219" s="174">
        <v>4385.21</v>
      </c>
      <c r="G219" s="175">
        <f t="shared" si="37"/>
        <v>4385.21</v>
      </c>
      <c r="H219" s="174">
        <v>5806.15</v>
      </c>
      <c r="I219" s="174">
        <v>0</v>
      </c>
      <c r="J219" s="174">
        <v>0</v>
      </c>
      <c r="K219" s="174">
        <v>0</v>
      </c>
      <c r="L219" s="174">
        <f t="shared" si="38"/>
        <v>0</v>
      </c>
      <c r="M219" s="174">
        <v>0</v>
      </c>
      <c r="N219" s="174">
        <v>0</v>
      </c>
      <c r="O219" s="174">
        <v>0</v>
      </c>
      <c r="P219" s="174">
        <f t="shared" si="39"/>
        <v>0</v>
      </c>
      <c r="Q219" s="175">
        <v>0</v>
      </c>
      <c r="R219" s="175">
        <v>0</v>
      </c>
      <c r="S219" s="175">
        <v>0</v>
      </c>
      <c r="T219" s="175">
        <v>0</v>
      </c>
      <c r="U219" s="175">
        <f t="shared" si="40"/>
        <v>0</v>
      </c>
      <c r="V219" s="175">
        <f t="shared" si="41"/>
        <v>10191.36</v>
      </c>
      <c r="W219" s="174">
        <v>0</v>
      </c>
      <c r="X219" s="174">
        <f t="shared" si="42"/>
        <v>10191.36</v>
      </c>
      <c r="Y219" s="175">
        <v>0</v>
      </c>
      <c r="Z219" s="174">
        <f t="shared" si="43"/>
        <v>10191.36</v>
      </c>
    </row>
    <row r="220" spans="1:26" ht="12.75" hidden="1" outlineLevel="1">
      <c r="A220" s="174" t="s">
        <v>1874</v>
      </c>
      <c r="C220" s="175" t="s">
        <v>1875</v>
      </c>
      <c r="D220" s="175" t="s">
        <v>1876</v>
      </c>
      <c r="E220" s="174">
        <v>0</v>
      </c>
      <c r="F220" s="174">
        <v>137150.87</v>
      </c>
      <c r="G220" s="175">
        <f t="shared" si="37"/>
        <v>137150.87</v>
      </c>
      <c r="H220" s="174">
        <v>55416.46</v>
      </c>
      <c r="I220" s="174">
        <v>0</v>
      </c>
      <c r="J220" s="174">
        <v>0</v>
      </c>
      <c r="K220" s="174">
        <v>0</v>
      </c>
      <c r="L220" s="174">
        <f t="shared" si="38"/>
        <v>0</v>
      </c>
      <c r="M220" s="174">
        <v>0</v>
      </c>
      <c r="N220" s="174">
        <v>0</v>
      </c>
      <c r="O220" s="174">
        <v>0</v>
      </c>
      <c r="P220" s="174">
        <f t="shared" si="39"/>
        <v>0</v>
      </c>
      <c r="Q220" s="175">
        <v>0</v>
      </c>
      <c r="R220" s="175">
        <v>0</v>
      </c>
      <c r="S220" s="175">
        <v>0</v>
      </c>
      <c r="T220" s="175">
        <v>0</v>
      </c>
      <c r="U220" s="175">
        <f t="shared" si="40"/>
        <v>0</v>
      </c>
      <c r="V220" s="175">
        <f t="shared" si="41"/>
        <v>192567.33</v>
      </c>
      <c r="W220" s="174">
        <v>0</v>
      </c>
      <c r="X220" s="174">
        <f t="shared" si="42"/>
        <v>192567.33</v>
      </c>
      <c r="Y220" s="175">
        <v>970.75</v>
      </c>
      <c r="Z220" s="174">
        <f t="shared" si="43"/>
        <v>193538.08</v>
      </c>
    </row>
    <row r="221" spans="1:26" ht="12.75" hidden="1" outlineLevel="1">
      <c r="A221" s="174" t="s">
        <v>1877</v>
      </c>
      <c r="C221" s="175" t="s">
        <v>1878</v>
      </c>
      <c r="D221" s="175" t="s">
        <v>1879</v>
      </c>
      <c r="E221" s="174">
        <v>0</v>
      </c>
      <c r="F221" s="174">
        <v>15031.13</v>
      </c>
      <c r="G221" s="175">
        <f t="shared" si="37"/>
        <v>15031.13</v>
      </c>
      <c r="H221" s="174">
        <v>0</v>
      </c>
      <c r="I221" s="174">
        <v>0</v>
      </c>
      <c r="J221" s="174">
        <v>0</v>
      </c>
      <c r="K221" s="174">
        <v>0</v>
      </c>
      <c r="L221" s="174">
        <f t="shared" si="38"/>
        <v>0</v>
      </c>
      <c r="M221" s="174">
        <v>0</v>
      </c>
      <c r="N221" s="174">
        <v>0</v>
      </c>
      <c r="O221" s="174">
        <v>0</v>
      </c>
      <c r="P221" s="174">
        <f t="shared" si="39"/>
        <v>0</v>
      </c>
      <c r="Q221" s="175">
        <v>0</v>
      </c>
      <c r="R221" s="175">
        <v>0</v>
      </c>
      <c r="S221" s="175">
        <v>0</v>
      </c>
      <c r="T221" s="175">
        <v>0</v>
      </c>
      <c r="U221" s="175">
        <f t="shared" si="40"/>
        <v>0</v>
      </c>
      <c r="V221" s="175">
        <f t="shared" si="41"/>
        <v>15031.13</v>
      </c>
      <c r="W221" s="174">
        <v>0</v>
      </c>
      <c r="X221" s="174">
        <f t="shared" si="42"/>
        <v>15031.13</v>
      </c>
      <c r="Y221" s="175">
        <v>0</v>
      </c>
      <c r="Z221" s="174">
        <f t="shared" si="43"/>
        <v>15031.13</v>
      </c>
    </row>
    <row r="222" spans="1:26" ht="12.75" hidden="1" outlineLevel="1">
      <c r="A222" s="174" t="s">
        <v>1880</v>
      </c>
      <c r="C222" s="175" t="s">
        <v>1881</v>
      </c>
      <c r="D222" s="175" t="s">
        <v>1882</v>
      </c>
      <c r="E222" s="174">
        <v>0</v>
      </c>
      <c r="F222" s="174">
        <v>1930.82</v>
      </c>
      <c r="G222" s="175">
        <f t="shared" si="37"/>
        <v>1930.82</v>
      </c>
      <c r="H222" s="174">
        <v>655.11</v>
      </c>
      <c r="I222" s="174">
        <v>0</v>
      </c>
      <c r="J222" s="174">
        <v>0</v>
      </c>
      <c r="K222" s="174">
        <v>0</v>
      </c>
      <c r="L222" s="174">
        <f t="shared" si="38"/>
        <v>0</v>
      </c>
      <c r="M222" s="174">
        <v>0</v>
      </c>
      <c r="N222" s="174">
        <v>0</v>
      </c>
      <c r="O222" s="174">
        <v>0</v>
      </c>
      <c r="P222" s="174">
        <f t="shared" si="39"/>
        <v>0</v>
      </c>
      <c r="Q222" s="175">
        <v>0</v>
      </c>
      <c r="R222" s="175">
        <v>0</v>
      </c>
      <c r="S222" s="175">
        <v>0</v>
      </c>
      <c r="T222" s="175">
        <v>0</v>
      </c>
      <c r="U222" s="175">
        <f t="shared" si="40"/>
        <v>0</v>
      </c>
      <c r="V222" s="175">
        <f t="shared" si="41"/>
        <v>2585.93</v>
      </c>
      <c r="W222" s="174">
        <v>0</v>
      </c>
      <c r="X222" s="174">
        <f t="shared" si="42"/>
        <v>2585.93</v>
      </c>
      <c r="Y222" s="175">
        <v>0</v>
      </c>
      <c r="Z222" s="174">
        <f t="shared" si="43"/>
        <v>2585.93</v>
      </c>
    </row>
    <row r="223" spans="1:26" ht="12.75" hidden="1" outlineLevel="1">
      <c r="A223" s="174" t="s">
        <v>1883</v>
      </c>
      <c r="C223" s="175" t="s">
        <v>1884</v>
      </c>
      <c r="D223" s="175" t="s">
        <v>1885</v>
      </c>
      <c r="E223" s="174">
        <v>0</v>
      </c>
      <c r="F223" s="174">
        <v>6354.01</v>
      </c>
      <c r="G223" s="175">
        <f t="shared" si="37"/>
        <v>6354.01</v>
      </c>
      <c r="H223" s="174">
        <v>0</v>
      </c>
      <c r="I223" s="174">
        <v>0</v>
      </c>
      <c r="J223" s="174">
        <v>0</v>
      </c>
      <c r="K223" s="174">
        <v>0</v>
      </c>
      <c r="L223" s="174">
        <f t="shared" si="38"/>
        <v>0</v>
      </c>
      <c r="M223" s="174">
        <v>0</v>
      </c>
      <c r="N223" s="174">
        <v>0</v>
      </c>
      <c r="O223" s="174">
        <v>0</v>
      </c>
      <c r="P223" s="174">
        <f t="shared" si="39"/>
        <v>0</v>
      </c>
      <c r="Q223" s="175">
        <v>0</v>
      </c>
      <c r="R223" s="175">
        <v>0</v>
      </c>
      <c r="S223" s="175">
        <v>0</v>
      </c>
      <c r="T223" s="175">
        <v>0</v>
      </c>
      <c r="U223" s="175">
        <f t="shared" si="40"/>
        <v>0</v>
      </c>
      <c r="V223" s="175">
        <f t="shared" si="41"/>
        <v>6354.01</v>
      </c>
      <c r="W223" s="174">
        <v>0</v>
      </c>
      <c r="X223" s="174">
        <f t="shared" si="42"/>
        <v>6354.01</v>
      </c>
      <c r="Y223" s="175">
        <v>0</v>
      </c>
      <c r="Z223" s="174">
        <f t="shared" si="43"/>
        <v>6354.01</v>
      </c>
    </row>
    <row r="224" spans="1:26" ht="12.75" hidden="1" outlineLevel="1">
      <c r="A224" s="174" t="s">
        <v>1886</v>
      </c>
      <c r="C224" s="175" t="s">
        <v>1887</v>
      </c>
      <c r="D224" s="175" t="s">
        <v>1888</v>
      </c>
      <c r="E224" s="174">
        <v>0</v>
      </c>
      <c r="F224" s="174">
        <v>4942.84</v>
      </c>
      <c r="G224" s="175">
        <f t="shared" si="37"/>
        <v>4942.84</v>
      </c>
      <c r="H224" s="174">
        <v>759.21</v>
      </c>
      <c r="I224" s="174">
        <v>0</v>
      </c>
      <c r="J224" s="174">
        <v>0</v>
      </c>
      <c r="K224" s="174">
        <v>0</v>
      </c>
      <c r="L224" s="174">
        <f t="shared" si="38"/>
        <v>0</v>
      </c>
      <c r="M224" s="174">
        <v>0</v>
      </c>
      <c r="N224" s="174">
        <v>0</v>
      </c>
      <c r="O224" s="174">
        <v>0</v>
      </c>
      <c r="P224" s="174">
        <f t="shared" si="39"/>
        <v>0</v>
      </c>
      <c r="Q224" s="175">
        <v>0</v>
      </c>
      <c r="R224" s="175">
        <v>0</v>
      </c>
      <c r="S224" s="175">
        <v>0</v>
      </c>
      <c r="T224" s="175">
        <v>0</v>
      </c>
      <c r="U224" s="175">
        <f t="shared" si="40"/>
        <v>0</v>
      </c>
      <c r="V224" s="175">
        <f t="shared" si="41"/>
        <v>5702.05</v>
      </c>
      <c r="W224" s="174">
        <v>0</v>
      </c>
      <c r="X224" s="174">
        <f t="shared" si="42"/>
        <v>5702.05</v>
      </c>
      <c r="Y224" s="175">
        <v>0</v>
      </c>
      <c r="Z224" s="174">
        <f t="shared" si="43"/>
        <v>5702.05</v>
      </c>
    </row>
    <row r="225" spans="1:26" ht="12.75" hidden="1" outlineLevel="1">
      <c r="A225" s="174" t="s">
        <v>1889</v>
      </c>
      <c r="C225" s="175" t="s">
        <v>1890</v>
      </c>
      <c r="D225" s="175" t="s">
        <v>1891</v>
      </c>
      <c r="E225" s="174">
        <v>0</v>
      </c>
      <c r="F225" s="174">
        <v>3342.43</v>
      </c>
      <c r="G225" s="175">
        <f t="shared" si="37"/>
        <v>3342.43</v>
      </c>
      <c r="H225" s="174">
        <v>0</v>
      </c>
      <c r="I225" s="174">
        <v>0</v>
      </c>
      <c r="J225" s="174">
        <v>0</v>
      </c>
      <c r="K225" s="174">
        <v>0</v>
      </c>
      <c r="L225" s="174">
        <f t="shared" si="38"/>
        <v>0</v>
      </c>
      <c r="M225" s="174">
        <v>0</v>
      </c>
      <c r="N225" s="174">
        <v>0</v>
      </c>
      <c r="O225" s="174">
        <v>0</v>
      </c>
      <c r="P225" s="174">
        <f t="shared" si="39"/>
        <v>0</v>
      </c>
      <c r="Q225" s="175">
        <v>0</v>
      </c>
      <c r="R225" s="175">
        <v>0</v>
      </c>
      <c r="S225" s="175">
        <v>0</v>
      </c>
      <c r="T225" s="175">
        <v>0</v>
      </c>
      <c r="U225" s="175">
        <f t="shared" si="40"/>
        <v>0</v>
      </c>
      <c r="V225" s="175">
        <f t="shared" si="41"/>
        <v>3342.43</v>
      </c>
      <c r="W225" s="174">
        <v>0</v>
      </c>
      <c r="X225" s="174">
        <f t="shared" si="42"/>
        <v>3342.43</v>
      </c>
      <c r="Y225" s="175">
        <v>0</v>
      </c>
      <c r="Z225" s="174">
        <f t="shared" si="43"/>
        <v>3342.43</v>
      </c>
    </row>
    <row r="226" spans="1:26" ht="12.75" hidden="1" outlineLevel="1">
      <c r="A226" s="174" t="s">
        <v>1892</v>
      </c>
      <c r="C226" s="175" t="s">
        <v>1893</v>
      </c>
      <c r="D226" s="175" t="s">
        <v>1894</v>
      </c>
      <c r="E226" s="174">
        <v>0</v>
      </c>
      <c r="F226" s="174">
        <v>604782.43</v>
      </c>
      <c r="G226" s="175">
        <f t="shared" si="37"/>
        <v>604782.43</v>
      </c>
      <c r="H226" s="174">
        <v>180978.5</v>
      </c>
      <c r="I226" s="174">
        <v>0</v>
      </c>
      <c r="J226" s="174">
        <v>0</v>
      </c>
      <c r="K226" s="174">
        <v>0</v>
      </c>
      <c r="L226" s="174">
        <f t="shared" si="38"/>
        <v>0</v>
      </c>
      <c r="M226" s="174">
        <v>0</v>
      </c>
      <c r="N226" s="174">
        <v>0</v>
      </c>
      <c r="O226" s="174">
        <v>0</v>
      </c>
      <c r="P226" s="174">
        <f t="shared" si="39"/>
        <v>0</v>
      </c>
      <c r="Q226" s="175">
        <v>6432.31</v>
      </c>
      <c r="R226" s="175">
        <v>0</v>
      </c>
      <c r="S226" s="175">
        <v>0</v>
      </c>
      <c r="T226" s="175">
        <v>0</v>
      </c>
      <c r="U226" s="175">
        <f t="shared" si="40"/>
        <v>6432.31</v>
      </c>
      <c r="V226" s="175">
        <f t="shared" si="41"/>
        <v>792193.2400000001</v>
      </c>
      <c r="W226" s="174">
        <v>0</v>
      </c>
      <c r="X226" s="174">
        <f t="shared" si="42"/>
        <v>792193.2400000001</v>
      </c>
      <c r="Y226" s="175">
        <v>8000</v>
      </c>
      <c r="Z226" s="174">
        <f t="shared" si="43"/>
        <v>800193.2400000001</v>
      </c>
    </row>
    <row r="227" spans="1:26" ht="12.75" hidden="1" outlineLevel="1">
      <c r="A227" s="174" t="s">
        <v>1895</v>
      </c>
      <c r="C227" s="175" t="s">
        <v>1896</v>
      </c>
      <c r="D227" s="175" t="s">
        <v>1897</v>
      </c>
      <c r="E227" s="174">
        <v>0</v>
      </c>
      <c r="F227" s="174">
        <v>224088.92</v>
      </c>
      <c r="G227" s="175">
        <f t="shared" si="37"/>
        <v>224088.92</v>
      </c>
      <c r="H227" s="174">
        <v>81353.55</v>
      </c>
      <c r="I227" s="174">
        <v>0</v>
      </c>
      <c r="J227" s="174">
        <v>0</v>
      </c>
      <c r="K227" s="174">
        <v>0</v>
      </c>
      <c r="L227" s="174">
        <f t="shared" si="38"/>
        <v>0</v>
      </c>
      <c r="M227" s="174">
        <v>0</v>
      </c>
      <c r="N227" s="174">
        <v>0</v>
      </c>
      <c r="O227" s="174">
        <v>5678.43</v>
      </c>
      <c r="P227" s="174">
        <f t="shared" si="39"/>
        <v>5678.43</v>
      </c>
      <c r="Q227" s="175">
        <v>0</v>
      </c>
      <c r="R227" s="175">
        <v>0</v>
      </c>
      <c r="S227" s="175">
        <v>0</v>
      </c>
      <c r="T227" s="175">
        <v>0</v>
      </c>
      <c r="U227" s="175">
        <f t="shared" si="40"/>
        <v>0</v>
      </c>
      <c r="V227" s="175">
        <f t="shared" si="41"/>
        <v>311120.9</v>
      </c>
      <c r="W227" s="174">
        <v>0</v>
      </c>
      <c r="X227" s="174">
        <f t="shared" si="42"/>
        <v>311120.9</v>
      </c>
      <c r="Y227" s="175">
        <v>0</v>
      </c>
      <c r="Z227" s="174">
        <f t="shared" si="43"/>
        <v>311120.9</v>
      </c>
    </row>
    <row r="228" spans="1:26" ht="12.75" hidden="1" outlineLevel="1">
      <c r="A228" s="174" t="s">
        <v>1898</v>
      </c>
      <c r="C228" s="175" t="s">
        <v>1899</v>
      </c>
      <c r="D228" s="175" t="s">
        <v>1900</v>
      </c>
      <c r="E228" s="174">
        <v>0</v>
      </c>
      <c r="F228" s="174">
        <v>21248.16</v>
      </c>
      <c r="G228" s="175">
        <f t="shared" si="37"/>
        <v>21248.16</v>
      </c>
      <c r="H228" s="174">
        <v>9160.06</v>
      </c>
      <c r="I228" s="174">
        <v>0</v>
      </c>
      <c r="J228" s="174">
        <v>0</v>
      </c>
      <c r="K228" s="174">
        <v>0</v>
      </c>
      <c r="L228" s="174">
        <f t="shared" si="38"/>
        <v>0</v>
      </c>
      <c r="M228" s="174">
        <v>0</v>
      </c>
      <c r="N228" s="174">
        <v>0</v>
      </c>
      <c r="O228" s="174">
        <v>0</v>
      </c>
      <c r="P228" s="174">
        <f t="shared" si="39"/>
        <v>0</v>
      </c>
      <c r="Q228" s="175">
        <v>0</v>
      </c>
      <c r="R228" s="175">
        <v>0</v>
      </c>
      <c r="S228" s="175">
        <v>0</v>
      </c>
      <c r="T228" s="175">
        <v>0</v>
      </c>
      <c r="U228" s="175">
        <f t="shared" si="40"/>
        <v>0</v>
      </c>
      <c r="V228" s="175">
        <f t="shared" si="41"/>
        <v>30408.22</v>
      </c>
      <c r="W228" s="174">
        <v>0</v>
      </c>
      <c r="X228" s="174">
        <f t="shared" si="42"/>
        <v>30408.22</v>
      </c>
      <c r="Y228" s="175">
        <v>0</v>
      </c>
      <c r="Z228" s="174">
        <f t="shared" si="43"/>
        <v>30408.22</v>
      </c>
    </row>
    <row r="229" spans="1:26" ht="12.75" hidden="1" outlineLevel="1">
      <c r="A229" s="174" t="s">
        <v>1901</v>
      </c>
      <c r="C229" s="175" t="s">
        <v>1902</v>
      </c>
      <c r="D229" s="175" t="s">
        <v>1903</v>
      </c>
      <c r="E229" s="174">
        <v>0</v>
      </c>
      <c r="F229" s="174">
        <v>294.05</v>
      </c>
      <c r="G229" s="175">
        <f t="shared" si="37"/>
        <v>294.05</v>
      </c>
      <c r="H229" s="174">
        <v>0</v>
      </c>
      <c r="I229" s="174">
        <v>0</v>
      </c>
      <c r="J229" s="174">
        <v>0</v>
      </c>
      <c r="K229" s="174">
        <v>0</v>
      </c>
      <c r="L229" s="174">
        <f t="shared" si="38"/>
        <v>0</v>
      </c>
      <c r="M229" s="174">
        <v>0</v>
      </c>
      <c r="N229" s="174">
        <v>0</v>
      </c>
      <c r="O229" s="174">
        <v>0</v>
      </c>
      <c r="P229" s="174">
        <f t="shared" si="39"/>
        <v>0</v>
      </c>
      <c r="Q229" s="175">
        <v>0</v>
      </c>
      <c r="R229" s="175">
        <v>0</v>
      </c>
      <c r="S229" s="175">
        <v>0</v>
      </c>
      <c r="T229" s="175">
        <v>0</v>
      </c>
      <c r="U229" s="175">
        <f t="shared" si="40"/>
        <v>0</v>
      </c>
      <c r="V229" s="175">
        <f t="shared" si="41"/>
        <v>294.05</v>
      </c>
      <c r="W229" s="174">
        <v>0</v>
      </c>
      <c r="X229" s="174">
        <f t="shared" si="42"/>
        <v>294.05</v>
      </c>
      <c r="Y229" s="175">
        <v>0</v>
      </c>
      <c r="Z229" s="174">
        <f t="shared" si="43"/>
        <v>294.05</v>
      </c>
    </row>
    <row r="230" spans="1:26" ht="12.75" hidden="1" outlineLevel="1">
      <c r="A230" s="174" t="s">
        <v>1904</v>
      </c>
      <c r="C230" s="175" t="s">
        <v>1905</v>
      </c>
      <c r="D230" s="175" t="s">
        <v>1906</v>
      </c>
      <c r="E230" s="174">
        <v>0</v>
      </c>
      <c r="F230" s="174">
        <v>144097.71</v>
      </c>
      <c r="G230" s="175">
        <f t="shared" si="37"/>
        <v>144097.71</v>
      </c>
      <c r="H230" s="174">
        <v>1195</v>
      </c>
      <c r="I230" s="174">
        <v>0</v>
      </c>
      <c r="J230" s="174">
        <v>0</v>
      </c>
      <c r="K230" s="174">
        <v>0</v>
      </c>
      <c r="L230" s="174">
        <f t="shared" si="38"/>
        <v>0</v>
      </c>
      <c r="M230" s="174">
        <v>0</v>
      </c>
      <c r="N230" s="174">
        <v>0</v>
      </c>
      <c r="O230" s="174">
        <v>0</v>
      </c>
      <c r="P230" s="174">
        <f t="shared" si="39"/>
        <v>0</v>
      </c>
      <c r="Q230" s="175">
        <v>0</v>
      </c>
      <c r="R230" s="175">
        <v>0</v>
      </c>
      <c r="S230" s="175">
        <v>0</v>
      </c>
      <c r="T230" s="175">
        <v>0</v>
      </c>
      <c r="U230" s="175">
        <f t="shared" si="40"/>
        <v>0</v>
      </c>
      <c r="V230" s="175">
        <f t="shared" si="41"/>
        <v>145292.71</v>
      </c>
      <c r="W230" s="174">
        <v>0</v>
      </c>
      <c r="X230" s="174">
        <f t="shared" si="42"/>
        <v>145292.71</v>
      </c>
      <c r="Y230" s="175">
        <v>0</v>
      </c>
      <c r="Z230" s="174">
        <f t="shared" si="43"/>
        <v>145292.71</v>
      </c>
    </row>
    <row r="231" spans="1:26" ht="12.75" hidden="1" outlineLevel="1">
      <c r="A231" s="174" t="s">
        <v>1907</v>
      </c>
      <c r="C231" s="175" t="s">
        <v>1908</v>
      </c>
      <c r="D231" s="175" t="s">
        <v>1909</v>
      </c>
      <c r="E231" s="174">
        <v>0</v>
      </c>
      <c r="F231" s="174">
        <v>117438.18</v>
      </c>
      <c r="G231" s="175">
        <f t="shared" si="37"/>
        <v>117438.18</v>
      </c>
      <c r="H231" s="174">
        <v>47623.92</v>
      </c>
      <c r="I231" s="174">
        <v>0</v>
      </c>
      <c r="J231" s="174">
        <v>0</v>
      </c>
      <c r="K231" s="174">
        <v>0</v>
      </c>
      <c r="L231" s="174">
        <f t="shared" si="38"/>
        <v>0</v>
      </c>
      <c r="M231" s="174">
        <v>0</v>
      </c>
      <c r="N231" s="174">
        <v>0</v>
      </c>
      <c r="O231" s="174">
        <v>0</v>
      </c>
      <c r="P231" s="174">
        <f t="shared" si="39"/>
        <v>0</v>
      </c>
      <c r="Q231" s="175">
        <v>0</v>
      </c>
      <c r="R231" s="175">
        <v>0</v>
      </c>
      <c r="S231" s="175">
        <v>0</v>
      </c>
      <c r="T231" s="175">
        <v>0</v>
      </c>
      <c r="U231" s="175">
        <f t="shared" si="40"/>
        <v>0</v>
      </c>
      <c r="V231" s="175">
        <f t="shared" si="41"/>
        <v>165062.09999999998</v>
      </c>
      <c r="W231" s="174">
        <v>0</v>
      </c>
      <c r="X231" s="174">
        <f t="shared" si="42"/>
        <v>165062.09999999998</v>
      </c>
      <c r="Y231" s="175">
        <v>0</v>
      </c>
      <c r="Z231" s="174">
        <f t="shared" si="43"/>
        <v>165062.09999999998</v>
      </c>
    </row>
    <row r="232" spans="1:26" ht="12.75" hidden="1" outlineLevel="1">
      <c r="A232" s="174" t="s">
        <v>1910</v>
      </c>
      <c r="C232" s="175" t="s">
        <v>1911</v>
      </c>
      <c r="D232" s="175" t="s">
        <v>1912</v>
      </c>
      <c r="E232" s="174">
        <v>0</v>
      </c>
      <c r="F232" s="174">
        <v>7066.04</v>
      </c>
      <c r="G232" s="175">
        <f t="shared" si="37"/>
        <v>7066.04</v>
      </c>
      <c r="H232" s="174">
        <v>-801.76</v>
      </c>
      <c r="I232" s="174">
        <v>0</v>
      </c>
      <c r="J232" s="174">
        <v>0</v>
      </c>
      <c r="K232" s="174">
        <v>0</v>
      </c>
      <c r="L232" s="174">
        <f t="shared" si="38"/>
        <v>0</v>
      </c>
      <c r="M232" s="174">
        <v>0</v>
      </c>
      <c r="N232" s="174">
        <v>0</v>
      </c>
      <c r="O232" s="174">
        <v>0</v>
      </c>
      <c r="P232" s="174">
        <f t="shared" si="39"/>
        <v>0</v>
      </c>
      <c r="Q232" s="175">
        <v>0</v>
      </c>
      <c r="R232" s="175">
        <v>0</v>
      </c>
      <c r="S232" s="175">
        <v>0</v>
      </c>
      <c r="T232" s="175">
        <v>0</v>
      </c>
      <c r="U232" s="175">
        <f t="shared" si="40"/>
        <v>0</v>
      </c>
      <c r="V232" s="175">
        <f t="shared" si="41"/>
        <v>6264.28</v>
      </c>
      <c r="W232" s="174">
        <v>0</v>
      </c>
      <c r="X232" s="174">
        <f t="shared" si="42"/>
        <v>6264.28</v>
      </c>
      <c r="Y232" s="175">
        <v>0</v>
      </c>
      <c r="Z232" s="174">
        <f t="shared" si="43"/>
        <v>6264.28</v>
      </c>
    </row>
    <row r="233" spans="1:26" ht="12.75" hidden="1" outlineLevel="1">
      <c r="A233" s="174" t="s">
        <v>1913</v>
      </c>
      <c r="C233" s="175" t="s">
        <v>1914</v>
      </c>
      <c r="D233" s="175" t="s">
        <v>1915</v>
      </c>
      <c r="E233" s="174">
        <v>0</v>
      </c>
      <c r="F233" s="174">
        <v>-6300</v>
      </c>
      <c r="G233" s="175">
        <f t="shared" si="37"/>
        <v>-6300</v>
      </c>
      <c r="H233" s="174">
        <v>6300</v>
      </c>
      <c r="I233" s="174">
        <v>0</v>
      </c>
      <c r="J233" s="174">
        <v>0</v>
      </c>
      <c r="K233" s="174">
        <v>0</v>
      </c>
      <c r="L233" s="174">
        <f t="shared" si="38"/>
        <v>0</v>
      </c>
      <c r="M233" s="174">
        <v>0</v>
      </c>
      <c r="N233" s="174">
        <v>0</v>
      </c>
      <c r="O233" s="174">
        <v>0</v>
      </c>
      <c r="P233" s="174">
        <f t="shared" si="39"/>
        <v>0</v>
      </c>
      <c r="Q233" s="175">
        <v>0</v>
      </c>
      <c r="R233" s="175">
        <v>0</v>
      </c>
      <c r="S233" s="175">
        <v>0</v>
      </c>
      <c r="T233" s="175">
        <v>0</v>
      </c>
      <c r="U233" s="175">
        <f t="shared" si="40"/>
        <v>0</v>
      </c>
      <c r="V233" s="175">
        <f t="shared" si="41"/>
        <v>0</v>
      </c>
      <c r="W233" s="174">
        <v>0</v>
      </c>
      <c r="X233" s="174">
        <f t="shared" si="42"/>
        <v>0</v>
      </c>
      <c r="Y233" s="175">
        <v>0</v>
      </c>
      <c r="Z233" s="174">
        <f t="shared" si="43"/>
        <v>0</v>
      </c>
    </row>
    <row r="234" spans="1:26" ht="12.75" hidden="1" outlineLevel="1">
      <c r="A234" s="174" t="s">
        <v>1916</v>
      </c>
      <c r="C234" s="175" t="s">
        <v>1917</v>
      </c>
      <c r="D234" s="175" t="s">
        <v>1918</v>
      </c>
      <c r="E234" s="174">
        <v>0</v>
      </c>
      <c r="F234" s="174">
        <v>2040</v>
      </c>
      <c r="G234" s="175">
        <f t="shared" si="37"/>
        <v>2040</v>
      </c>
      <c r="H234" s="174">
        <v>2060</v>
      </c>
      <c r="I234" s="174">
        <v>0</v>
      </c>
      <c r="J234" s="174">
        <v>0</v>
      </c>
      <c r="K234" s="174">
        <v>0</v>
      </c>
      <c r="L234" s="174">
        <f t="shared" si="38"/>
        <v>0</v>
      </c>
      <c r="M234" s="174">
        <v>0</v>
      </c>
      <c r="N234" s="174">
        <v>0</v>
      </c>
      <c r="O234" s="174">
        <v>0</v>
      </c>
      <c r="P234" s="174">
        <f t="shared" si="39"/>
        <v>0</v>
      </c>
      <c r="Q234" s="175">
        <v>0</v>
      </c>
      <c r="R234" s="175">
        <v>0</v>
      </c>
      <c r="S234" s="175">
        <v>0</v>
      </c>
      <c r="T234" s="175">
        <v>0</v>
      </c>
      <c r="U234" s="175">
        <f t="shared" si="40"/>
        <v>0</v>
      </c>
      <c r="V234" s="175">
        <f t="shared" si="41"/>
        <v>4100</v>
      </c>
      <c r="W234" s="174">
        <v>0</v>
      </c>
      <c r="X234" s="174">
        <f t="shared" si="42"/>
        <v>4100</v>
      </c>
      <c r="Y234" s="175">
        <v>0</v>
      </c>
      <c r="Z234" s="174">
        <f t="shared" si="43"/>
        <v>4100</v>
      </c>
    </row>
    <row r="235" spans="1:26" ht="12.75" hidden="1" outlineLevel="1">
      <c r="A235" s="174" t="s">
        <v>958</v>
      </c>
      <c r="C235" s="175" t="s">
        <v>959</v>
      </c>
      <c r="D235" s="175" t="s">
        <v>960</v>
      </c>
      <c r="E235" s="174">
        <v>0</v>
      </c>
      <c r="F235" s="174">
        <v>7888.93</v>
      </c>
      <c r="G235" s="175">
        <f t="shared" si="37"/>
        <v>7888.93</v>
      </c>
      <c r="H235" s="174">
        <v>0</v>
      </c>
      <c r="I235" s="174">
        <v>0</v>
      </c>
      <c r="J235" s="174">
        <v>0</v>
      </c>
      <c r="K235" s="174">
        <v>0</v>
      </c>
      <c r="L235" s="174">
        <f t="shared" si="38"/>
        <v>0</v>
      </c>
      <c r="M235" s="174">
        <v>0</v>
      </c>
      <c r="N235" s="174">
        <v>0</v>
      </c>
      <c r="O235" s="174">
        <v>0</v>
      </c>
      <c r="P235" s="174">
        <f t="shared" si="39"/>
        <v>0</v>
      </c>
      <c r="Q235" s="175">
        <v>0</v>
      </c>
      <c r="R235" s="175">
        <v>0</v>
      </c>
      <c r="S235" s="175">
        <v>0</v>
      </c>
      <c r="T235" s="175">
        <v>0</v>
      </c>
      <c r="U235" s="175">
        <f t="shared" si="40"/>
        <v>0</v>
      </c>
      <c r="V235" s="175">
        <f t="shared" si="41"/>
        <v>7888.93</v>
      </c>
      <c r="W235" s="174">
        <v>0</v>
      </c>
      <c r="X235" s="174">
        <f t="shared" si="42"/>
        <v>7888.93</v>
      </c>
      <c r="Y235" s="175">
        <v>0</v>
      </c>
      <c r="Z235" s="174">
        <f t="shared" si="43"/>
        <v>7888.93</v>
      </c>
    </row>
    <row r="236" spans="1:26" ht="12.75" hidden="1" outlineLevel="1">
      <c r="A236" s="174" t="s">
        <v>961</v>
      </c>
      <c r="C236" s="175" t="s">
        <v>962</v>
      </c>
      <c r="D236" s="175" t="s">
        <v>963</v>
      </c>
      <c r="E236" s="174">
        <v>0</v>
      </c>
      <c r="F236" s="174">
        <v>1770</v>
      </c>
      <c r="G236" s="175">
        <f t="shared" si="37"/>
        <v>1770</v>
      </c>
      <c r="H236" s="174">
        <v>0</v>
      </c>
      <c r="I236" s="174">
        <v>0</v>
      </c>
      <c r="J236" s="174">
        <v>0</v>
      </c>
      <c r="K236" s="174">
        <v>0</v>
      </c>
      <c r="L236" s="174">
        <f t="shared" si="38"/>
        <v>0</v>
      </c>
      <c r="M236" s="174">
        <v>0</v>
      </c>
      <c r="N236" s="174">
        <v>0</v>
      </c>
      <c r="O236" s="174">
        <v>0</v>
      </c>
      <c r="P236" s="174">
        <f t="shared" si="39"/>
        <v>0</v>
      </c>
      <c r="Q236" s="175">
        <v>0</v>
      </c>
      <c r="R236" s="175">
        <v>0</v>
      </c>
      <c r="S236" s="175">
        <v>0</v>
      </c>
      <c r="T236" s="175">
        <v>0</v>
      </c>
      <c r="U236" s="175">
        <f t="shared" si="40"/>
        <v>0</v>
      </c>
      <c r="V236" s="175">
        <f t="shared" si="41"/>
        <v>1770</v>
      </c>
      <c r="W236" s="174">
        <v>0</v>
      </c>
      <c r="X236" s="174">
        <f t="shared" si="42"/>
        <v>1770</v>
      </c>
      <c r="Y236" s="175">
        <v>0</v>
      </c>
      <c r="Z236" s="174">
        <f t="shared" si="43"/>
        <v>1770</v>
      </c>
    </row>
    <row r="237" spans="1:26" ht="12.75" hidden="1" outlineLevel="1">
      <c r="A237" s="174" t="s">
        <v>964</v>
      </c>
      <c r="C237" s="175" t="s">
        <v>965</v>
      </c>
      <c r="D237" s="175" t="s">
        <v>966</v>
      </c>
      <c r="E237" s="174">
        <v>0</v>
      </c>
      <c r="F237" s="174">
        <v>839756.83</v>
      </c>
      <c r="G237" s="175">
        <f t="shared" si="37"/>
        <v>839756.83</v>
      </c>
      <c r="H237" s="174">
        <v>287759.57</v>
      </c>
      <c r="I237" s="174">
        <v>0</v>
      </c>
      <c r="J237" s="174">
        <v>0</v>
      </c>
      <c r="K237" s="174">
        <v>0</v>
      </c>
      <c r="L237" s="174">
        <f t="shared" si="38"/>
        <v>0</v>
      </c>
      <c r="M237" s="174">
        <v>0</v>
      </c>
      <c r="N237" s="174">
        <v>0</v>
      </c>
      <c r="O237" s="174">
        <v>0</v>
      </c>
      <c r="P237" s="174">
        <f t="shared" si="39"/>
        <v>0</v>
      </c>
      <c r="Q237" s="175">
        <v>0</v>
      </c>
      <c r="R237" s="175">
        <v>0</v>
      </c>
      <c r="S237" s="175">
        <v>0</v>
      </c>
      <c r="T237" s="175">
        <v>0</v>
      </c>
      <c r="U237" s="175">
        <f t="shared" si="40"/>
        <v>0</v>
      </c>
      <c r="V237" s="175">
        <f t="shared" si="41"/>
        <v>1127516.4</v>
      </c>
      <c r="W237" s="174">
        <v>0</v>
      </c>
      <c r="X237" s="174">
        <f t="shared" si="42"/>
        <v>1127516.4</v>
      </c>
      <c r="Y237" s="175">
        <v>0</v>
      </c>
      <c r="Z237" s="174">
        <f t="shared" si="43"/>
        <v>1127516.4</v>
      </c>
    </row>
    <row r="238" spans="1:26" ht="12.75" hidden="1" outlineLevel="1">
      <c r="A238" s="174" t="s">
        <v>967</v>
      </c>
      <c r="C238" s="175" t="s">
        <v>968</v>
      </c>
      <c r="D238" s="175" t="s">
        <v>969</v>
      </c>
      <c r="E238" s="174">
        <v>0</v>
      </c>
      <c r="F238" s="174">
        <v>0</v>
      </c>
      <c r="G238" s="175">
        <f t="shared" si="37"/>
        <v>0</v>
      </c>
      <c r="H238" s="174">
        <v>396675.67</v>
      </c>
      <c r="I238" s="174">
        <v>0</v>
      </c>
      <c r="J238" s="174">
        <v>0</v>
      </c>
      <c r="K238" s="174">
        <v>0</v>
      </c>
      <c r="L238" s="174">
        <f t="shared" si="38"/>
        <v>0</v>
      </c>
      <c r="M238" s="174">
        <v>0</v>
      </c>
      <c r="N238" s="174">
        <v>0</v>
      </c>
      <c r="O238" s="174">
        <v>0</v>
      </c>
      <c r="P238" s="174">
        <f t="shared" si="39"/>
        <v>0</v>
      </c>
      <c r="Q238" s="175">
        <v>0</v>
      </c>
      <c r="R238" s="175">
        <v>0</v>
      </c>
      <c r="S238" s="175">
        <v>0</v>
      </c>
      <c r="T238" s="175">
        <v>0</v>
      </c>
      <c r="U238" s="175">
        <f t="shared" si="40"/>
        <v>0</v>
      </c>
      <c r="V238" s="175">
        <f t="shared" si="41"/>
        <v>396675.67</v>
      </c>
      <c r="W238" s="174">
        <v>0</v>
      </c>
      <c r="X238" s="174">
        <f t="shared" si="42"/>
        <v>396675.67</v>
      </c>
      <c r="Y238" s="175">
        <v>0</v>
      </c>
      <c r="Z238" s="174">
        <f t="shared" si="43"/>
        <v>396675.67</v>
      </c>
    </row>
    <row r="239" spans="1:26" ht="12.75" hidden="1" outlineLevel="1">
      <c r="A239" s="174" t="s">
        <v>970</v>
      </c>
      <c r="C239" s="175" t="s">
        <v>971</v>
      </c>
      <c r="D239" s="175" t="s">
        <v>972</v>
      </c>
      <c r="E239" s="174">
        <v>0</v>
      </c>
      <c r="F239" s="174">
        <v>0</v>
      </c>
      <c r="G239" s="175">
        <f t="shared" si="37"/>
        <v>0</v>
      </c>
      <c r="H239" s="174">
        <v>4312478.56</v>
      </c>
      <c r="I239" s="174">
        <v>0</v>
      </c>
      <c r="J239" s="174">
        <v>0</v>
      </c>
      <c r="K239" s="174">
        <v>0</v>
      </c>
      <c r="L239" s="174">
        <f t="shared" si="38"/>
        <v>0</v>
      </c>
      <c r="M239" s="174">
        <v>0</v>
      </c>
      <c r="N239" s="174">
        <v>0</v>
      </c>
      <c r="O239" s="174">
        <v>0</v>
      </c>
      <c r="P239" s="174">
        <f t="shared" si="39"/>
        <v>0</v>
      </c>
      <c r="Q239" s="175">
        <v>0</v>
      </c>
      <c r="R239" s="175">
        <v>0</v>
      </c>
      <c r="S239" s="175">
        <v>0</v>
      </c>
      <c r="T239" s="175">
        <v>0</v>
      </c>
      <c r="U239" s="175">
        <f t="shared" si="40"/>
        <v>0</v>
      </c>
      <c r="V239" s="175">
        <f t="shared" si="41"/>
        <v>4312478.56</v>
      </c>
      <c r="W239" s="174">
        <v>0</v>
      </c>
      <c r="X239" s="174">
        <f t="shared" si="42"/>
        <v>4312478.56</v>
      </c>
      <c r="Y239" s="175">
        <v>0</v>
      </c>
      <c r="Z239" s="174">
        <f t="shared" si="43"/>
        <v>4312478.56</v>
      </c>
    </row>
    <row r="240" spans="1:26" ht="12.75" hidden="1" outlineLevel="1">
      <c r="A240" s="174" t="s">
        <v>973</v>
      </c>
      <c r="C240" s="175" t="s">
        <v>974</v>
      </c>
      <c r="D240" s="175" t="s">
        <v>975</v>
      </c>
      <c r="E240" s="174">
        <v>0</v>
      </c>
      <c r="F240" s="174">
        <v>208533</v>
      </c>
      <c r="G240" s="175">
        <f t="shared" si="37"/>
        <v>208533</v>
      </c>
      <c r="H240" s="174">
        <v>2463.25</v>
      </c>
      <c r="I240" s="174">
        <v>0</v>
      </c>
      <c r="J240" s="174">
        <v>0</v>
      </c>
      <c r="K240" s="174">
        <v>0</v>
      </c>
      <c r="L240" s="174">
        <f t="shared" si="38"/>
        <v>0</v>
      </c>
      <c r="M240" s="174">
        <v>0</v>
      </c>
      <c r="N240" s="174">
        <v>0</v>
      </c>
      <c r="O240" s="174">
        <v>0</v>
      </c>
      <c r="P240" s="174">
        <f t="shared" si="39"/>
        <v>0</v>
      </c>
      <c r="Q240" s="175">
        <v>0</v>
      </c>
      <c r="R240" s="175">
        <v>0</v>
      </c>
      <c r="S240" s="175">
        <v>0</v>
      </c>
      <c r="T240" s="175">
        <v>0</v>
      </c>
      <c r="U240" s="175">
        <f t="shared" si="40"/>
        <v>0</v>
      </c>
      <c r="V240" s="175">
        <f t="shared" si="41"/>
        <v>210996.25</v>
      </c>
      <c r="W240" s="174">
        <v>0</v>
      </c>
      <c r="X240" s="174">
        <f t="shared" si="42"/>
        <v>210996.25</v>
      </c>
      <c r="Y240" s="175">
        <v>0</v>
      </c>
      <c r="Z240" s="174">
        <f t="shared" si="43"/>
        <v>210996.25</v>
      </c>
    </row>
    <row r="241" spans="1:26" ht="12.75" hidden="1" outlineLevel="1">
      <c r="A241" s="174" t="s">
        <v>976</v>
      </c>
      <c r="C241" s="175" t="s">
        <v>977</v>
      </c>
      <c r="D241" s="175" t="s">
        <v>978</v>
      </c>
      <c r="E241" s="174">
        <v>0</v>
      </c>
      <c r="F241" s="174">
        <v>216111.14</v>
      </c>
      <c r="G241" s="175">
        <f t="shared" si="37"/>
        <v>216111.14</v>
      </c>
      <c r="H241" s="174">
        <v>37884.24</v>
      </c>
      <c r="I241" s="174">
        <v>0</v>
      </c>
      <c r="J241" s="174">
        <v>0</v>
      </c>
      <c r="K241" s="174">
        <v>0</v>
      </c>
      <c r="L241" s="174">
        <f t="shared" si="38"/>
        <v>0</v>
      </c>
      <c r="M241" s="174">
        <v>0</v>
      </c>
      <c r="N241" s="174">
        <v>0</v>
      </c>
      <c r="O241" s="174">
        <v>0</v>
      </c>
      <c r="P241" s="174">
        <f t="shared" si="39"/>
        <v>0</v>
      </c>
      <c r="Q241" s="175">
        <v>0</v>
      </c>
      <c r="R241" s="175">
        <v>0</v>
      </c>
      <c r="S241" s="175">
        <v>0</v>
      </c>
      <c r="T241" s="175">
        <v>0</v>
      </c>
      <c r="U241" s="175">
        <f t="shared" si="40"/>
        <v>0</v>
      </c>
      <c r="V241" s="175">
        <f t="shared" si="41"/>
        <v>253995.38</v>
      </c>
      <c r="W241" s="174">
        <v>0</v>
      </c>
      <c r="X241" s="174">
        <f t="shared" si="42"/>
        <v>253995.38</v>
      </c>
      <c r="Y241" s="175">
        <v>0</v>
      </c>
      <c r="Z241" s="174">
        <f t="shared" si="43"/>
        <v>253995.38</v>
      </c>
    </row>
    <row r="242" spans="1:26" ht="12.75" hidden="1" outlineLevel="1">
      <c r="A242" s="174" t="s">
        <v>979</v>
      </c>
      <c r="C242" s="175" t="s">
        <v>980</v>
      </c>
      <c r="D242" s="175" t="s">
        <v>981</v>
      </c>
      <c r="E242" s="174">
        <v>0</v>
      </c>
      <c r="F242" s="174">
        <v>68511.39</v>
      </c>
      <c r="G242" s="175">
        <f t="shared" si="37"/>
        <v>68511.39</v>
      </c>
      <c r="H242" s="174">
        <v>108.96</v>
      </c>
      <c r="I242" s="174">
        <v>0</v>
      </c>
      <c r="J242" s="174">
        <v>0</v>
      </c>
      <c r="K242" s="174">
        <v>0</v>
      </c>
      <c r="L242" s="174">
        <f t="shared" si="38"/>
        <v>0</v>
      </c>
      <c r="M242" s="174">
        <v>0</v>
      </c>
      <c r="N242" s="174">
        <v>0</v>
      </c>
      <c r="O242" s="174">
        <v>0</v>
      </c>
      <c r="P242" s="174">
        <f t="shared" si="39"/>
        <v>0</v>
      </c>
      <c r="Q242" s="175">
        <v>0</v>
      </c>
      <c r="R242" s="175">
        <v>0</v>
      </c>
      <c r="S242" s="175">
        <v>0</v>
      </c>
      <c r="T242" s="175">
        <v>0</v>
      </c>
      <c r="U242" s="175">
        <f t="shared" si="40"/>
        <v>0</v>
      </c>
      <c r="V242" s="175">
        <f t="shared" si="41"/>
        <v>68620.35</v>
      </c>
      <c r="W242" s="174">
        <v>0</v>
      </c>
      <c r="X242" s="174">
        <f t="shared" si="42"/>
        <v>68620.35</v>
      </c>
      <c r="Y242" s="175">
        <v>0</v>
      </c>
      <c r="Z242" s="174">
        <f t="shared" si="43"/>
        <v>68620.35</v>
      </c>
    </row>
    <row r="243" spans="1:26" ht="12.75" hidden="1" outlineLevel="1">
      <c r="A243" s="174" t="s">
        <v>982</v>
      </c>
      <c r="C243" s="175" t="s">
        <v>983</v>
      </c>
      <c r="D243" s="175" t="s">
        <v>984</v>
      </c>
      <c r="E243" s="174">
        <v>0</v>
      </c>
      <c r="F243" s="174">
        <v>2311.17</v>
      </c>
      <c r="G243" s="175">
        <f t="shared" si="37"/>
        <v>2311.17</v>
      </c>
      <c r="H243" s="174">
        <v>0</v>
      </c>
      <c r="I243" s="174">
        <v>0</v>
      </c>
      <c r="J243" s="174">
        <v>0</v>
      </c>
      <c r="K243" s="174">
        <v>0</v>
      </c>
      <c r="L243" s="174">
        <f t="shared" si="38"/>
        <v>0</v>
      </c>
      <c r="M243" s="174">
        <v>0</v>
      </c>
      <c r="N243" s="174">
        <v>0</v>
      </c>
      <c r="O243" s="174">
        <v>0</v>
      </c>
      <c r="P243" s="174">
        <f t="shared" si="39"/>
        <v>0</v>
      </c>
      <c r="Q243" s="175">
        <v>0</v>
      </c>
      <c r="R243" s="175">
        <v>0</v>
      </c>
      <c r="S243" s="175">
        <v>0</v>
      </c>
      <c r="T243" s="175">
        <v>0</v>
      </c>
      <c r="U243" s="175">
        <f t="shared" si="40"/>
        <v>0</v>
      </c>
      <c r="V243" s="175">
        <f t="shared" si="41"/>
        <v>2311.17</v>
      </c>
      <c r="W243" s="174">
        <v>0</v>
      </c>
      <c r="X243" s="174">
        <f t="shared" si="42"/>
        <v>2311.17</v>
      </c>
      <c r="Y243" s="175">
        <v>0</v>
      </c>
      <c r="Z243" s="174">
        <f t="shared" si="43"/>
        <v>2311.17</v>
      </c>
    </row>
    <row r="244" spans="1:26" ht="12.75" hidden="1" outlineLevel="1">
      <c r="A244" s="174" t="s">
        <v>985</v>
      </c>
      <c r="C244" s="175" t="s">
        <v>986</v>
      </c>
      <c r="D244" s="175" t="s">
        <v>987</v>
      </c>
      <c r="E244" s="174">
        <v>0</v>
      </c>
      <c r="F244" s="174">
        <v>3563.62</v>
      </c>
      <c r="G244" s="175">
        <f t="shared" si="37"/>
        <v>3563.62</v>
      </c>
      <c r="H244" s="174">
        <v>0</v>
      </c>
      <c r="I244" s="174">
        <v>0</v>
      </c>
      <c r="J244" s="174">
        <v>0</v>
      </c>
      <c r="K244" s="174">
        <v>0</v>
      </c>
      <c r="L244" s="174">
        <f t="shared" si="38"/>
        <v>0</v>
      </c>
      <c r="M244" s="174">
        <v>0</v>
      </c>
      <c r="N244" s="174">
        <v>0</v>
      </c>
      <c r="O244" s="174">
        <v>0</v>
      </c>
      <c r="P244" s="174">
        <f t="shared" si="39"/>
        <v>0</v>
      </c>
      <c r="Q244" s="175">
        <v>0</v>
      </c>
      <c r="R244" s="175">
        <v>0</v>
      </c>
      <c r="S244" s="175">
        <v>0</v>
      </c>
      <c r="T244" s="175">
        <v>0</v>
      </c>
      <c r="U244" s="175">
        <f t="shared" si="40"/>
        <v>0</v>
      </c>
      <c r="V244" s="175">
        <f t="shared" si="41"/>
        <v>3563.62</v>
      </c>
      <c r="W244" s="174">
        <v>0</v>
      </c>
      <c r="X244" s="174">
        <f t="shared" si="42"/>
        <v>3563.62</v>
      </c>
      <c r="Y244" s="175">
        <v>0</v>
      </c>
      <c r="Z244" s="174">
        <f t="shared" si="43"/>
        <v>3563.62</v>
      </c>
    </row>
    <row r="245" spans="1:26" ht="12.75" hidden="1" outlineLevel="1">
      <c r="A245" s="174" t="s">
        <v>988</v>
      </c>
      <c r="C245" s="175" t="s">
        <v>989</v>
      </c>
      <c r="D245" s="175" t="s">
        <v>990</v>
      </c>
      <c r="E245" s="174">
        <v>0</v>
      </c>
      <c r="F245" s="174">
        <v>74.93</v>
      </c>
      <c r="G245" s="175">
        <f t="shared" si="37"/>
        <v>74.93</v>
      </c>
      <c r="H245" s="174">
        <v>99</v>
      </c>
      <c r="I245" s="174">
        <v>0</v>
      </c>
      <c r="J245" s="174">
        <v>0</v>
      </c>
      <c r="K245" s="174">
        <v>0</v>
      </c>
      <c r="L245" s="174">
        <f t="shared" si="38"/>
        <v>0</v>
      </c>
      <c r="M245" s="174">
        <v>0</v>
      </c>
      <c r="N245" s="174">
        <v>0</v>
      </c>
      <c r="O245" s="174">
        <v>0</v>
      </c>
      <c r="P245" s="174">
        <f t="shared" si="39"/>
        <v>0</v>
      </c>
      <c r="Q245" s="175">
        <v>0</v>
      </c>
      <c r="R245" s="175">
        <v>0</v>
      </c>
      <c r="S245" s="175">
        <v>0</v>
      </c>
      <c r="T245" s="175">
        <v>0</v>
      </c>
      <c r="U245" s="175">
        <f t="shared" si="40"/>
        <v>0</v>
      </c>
      <c r="V245" s="175">
        <f t="shared" si="41"/>
        <v>173.93</v>
      </c>
      <c r="W245" s="174">
        <v>0</v>
      </c>
      <c r="X245" s="174">
        <f t="shared" si="42"/>
        <v>173.93</v>
      </c>
      <c r="Y245" s="175">
        <v>0</v>
      </c>
      <c r="Z245" s="174">
        <f t="shared" si="43"/>
        <v>173.93</v>
      </c>
    </row>
    <row r="246" spans="1:26" ht="12.75" hidden="1" outlineLevel="1">
      <c r="A246" s="174" t="s">
        <v>991</v>
      </c>
      <c r="C246" s="175" t="s">
        <v>992</v>
      </c>
      <c r="D246" s="175" t="s">
        <v>993</v>
      </c>
      <c r="E246" s="174">
        <v>0</v>
      </c>
      <c r="F246" s="174">
        <v>80.56</v>
      </c>
      <c r="G246" s="175">
        <f t="shared" si="37"/>
        <v>80.56</v>
      </c>
      <c r="H246" s="174">
        <v>-9257.37</v>
      </c>
      <c r="I246" s="174">
        <v>0</v>
      </c>
      <c r="J246" s="174">
        <v>0</v>
      </c>
      <c r="K246" s="174">
        <v>0</v>
      </c>
      <c r="L246" s="174">
        <f t="shared" si="38"/>
        <v>0</v>
      </c>
      <c r="M246" s="174">
        <v>0</v>
      </c>
      <c r="N246" s="174">
        <v>0</v>
      </c>
      <c r="O246" s="174">
        <v>0</v>
      </c>
      <c r="P246" s="174">
        <f t="shared" si="39"/>
        <v>0</v>
      </c>
      <c r="Q246" s="175">
        <v>0</v>
      </c>
      <c r="R246" s="175">
        <v>0</v>
      </c>
      <c r="S246" s="175">
        <v>0</v>
      </c>
      <c r="T246" s="175">
        <v>0</v>
      </c>
      <c r="U246" s="175">
        <f t="shared" si="40"/>
        <v>0</v>
      </c>
      <c r="V246" s="175">
        <f t="shared" si="41"/>
        <v>-9176.810000000001</v>
      </c>
      <c r="W246" s="174">
        <v>0</v>
      </c>
      <c r="X246" s="174">
        <f t="shared" si="42"/>
        <v>-9176.810000000001</v>
      </c>
      <c r="Y246" s="175">
        <v>0</v>
      </c>
      <c r="Z246" s="174">
        <f t="shared" si="43"/>
        <v>-9176.810000000001</v>
      </c>
    </row>
    <row r="247" spans="1:26" ht="12.75" hidden="1" outlineLevel="1">
      <c r="A247" s="174" t="s">
        <v>994</v>
      </c>
      <c r="C247" s="175" t="s">
        <v>995</v>
      </c>
      <c r="D247" s="175" t="s">
        <v>996</v>
      </c>
      <c r="E247" s="174">
        <v>0</v>
      </c>
      <c r="F247" s="174">
        <v>2313.35</v>
      </c>
      <c r="G247" s="175">
        <f t="shared" si="37"/>
        <v>2313.35</v>
      </c>
      <c r="H247" s="174">
        <v>15677.23</v>
      </c>
      <c r="I247" s="174">
        <v>0</v>
      </c>
      <c r="J247" s="174">
        <v>0</v>
      </c>
      <c r="K247" s="174">
        <v>0</v>
      </c>
      <c r="L247" s="174">
        <f t="shared" si="38"/>
        <v>0</v>
      </c>
      <c r="M247" s="174">
        <v>0</v>
      </c>
      <c r="N247" s="174">
        <v>0</v>
      </c>
      <c r="O247" s="174">
        <v>0</v>
      </c>
      <c r="P247" s="174">
        <f t="shared" si="39"/>
        <v>0</v>
      </c>
      <c r="Q247" s="175">
        <v>0</v>
      </c>
      <c r="R247" s="175">
        <v>0</v>
      </c>
      <c r="S247" s="175">
        <v>0</v>
      </c>
      <c r="T247" s="175">
        <v>0</v>
      </c>
      <c r="U247" s="175">
        <f t="shared" si="40"/>
        <v>0</v>
      </c>
      <c r="V247" s="175">
        <f t="shared" si="41"/>
        <v>17990.579999999998</v>
      </c>
      <c r="W247" s="174">
        <v>0</v>
      </c>
      <c r="X247" s="174">
        <f t="shared" si="42"/>
        <v>17990.579999999998</v>
      </c>
      <c r="Y247" s="175">
        <v>0</v>
      </c>
      <c r="Z247" s="174">
        <f t="shared" si="43"/>
        <v>17990.579999999998</v>
      </c>
    </row>
    <row r="248" spans="1:26" ht="12.75" hidden="1" outlineLevel="1">
      <c r="A248" s="174" t="s">
        <v>997</v>
      </c>
      <c r="C248" s="175" t="s">
        <v>998</v>
      </c>
      <c r="D248" s="175" t="s">
        <v>999</v>
      </c>
      <c r="E248" s="174">
        <v>0</v>
      </c>
      <c r="F248" s="174">
        <v>65796.03</v>
      </c>
      <c r="G248" s="175">
        <f t="shared" si="37"/>
        <v>65796.03</v>
      </c>
      <c r="H248" s="174">
        <v>17131.65</v>
      </c>
      <c r="I248" s="174">
        <v>0</v>
      </c>
      <c r="J248" s="174">
        <v>0</v>
      </c>
      <c r="K248" s="174">
        <v>0</v>
      </c>
      <c r="L248" s="174">
        <f t="shared" si="38"/>
        <v>0</v>
      </c>
      <c r="M248" s="174">
        <v>0</v>
      </c>
      <c r="N248" s="174">
        <v>0</v>
      </c>
      <c r="O248" s="174">
        <v>0</v>
      </c>
      <c r="P248" s="174">
        <f t="shared" si="39"/>
        <v>0</v>
      </c>
      <c r="Q248" s="175">
        <v>0</v>
      </c>
      <c r="R248" s="175">
        <v>0</v>
      </c>
      <c r="S248" s="175">
        <v>0</v>
      </c>
      <c r="T248" s="175">
        <v>0</v>
      </c>
      <c r="U248" s="175">
        <f t="shared" si="40"/>
        <v>0</v>
      </c>
      <c r="V248" s="175">
        <f t="shared" si="41"/>
        <v>82927.68</v>
      </c>
      <c r="W248" s="174">
        <v>0</v>
      </c>
      <c r="X248" s="174">
        <f t="shared" si="42"/>
        <v>82927.68</v>
      </c>
      <c r="Y248" s="175">
        <v>0</v>
      </c>
      <c r="Z248" s="174">
        <f t="shared" si="43"/>
        <v>82927.68</v>
      </c>
    </row>
    <row r="249" spans="1:26" ht="12.75" hidden="1" outlineLevel="1">
      <c r="A249" s="174" t="s">
        <v>1000</v>
      </c>
      <c r="C249" s="175" t="s">
        <v>1001</v>
      </c>
      <c r="D249" s="175" t="s">
        <v>1002</v>
      </c>
      <c r="E249" s="174">
        <v>0</v>
      </c>
      <c r="F249" s="174">
        <v>122337.28</v>
      </c>
      <c r="G249" s="175">
        <f t="shared" si="37"/>
        <v>122337.28</v>
      </c>
      <c r="H249" s="174">
        <v>551.06</v>
      </c>
      <c r="I249" s="174">
        <v>0</v>
      </c>
      <c r="J249" s="174">
        <v>0</v>
      </c>
      <c r="K249" s="174">
        <v>0</v>
      </c>
      <c r="L249" s="174">
        <f t="shared" si="38"/>
        <v>0</v>
      </c>
      <c r="M249" s="174">
        <v>0</v>
      </c>
      <c r="N249" s="174">
        <v>0</v>
      </c>
      <c r="O249" s="174">
        <v>0</v>
      </c>
      <c r="P249" s="174">
        <f t="shared" si="39"/>
        <v>0</v>
      </c>
      <c r="Q249" s="175">
        <v>0</v>
      </c>
      <c r="R249" s="175">
        <v>0</v>
      </c>
      <c r="S249" s="175">
        <v>0</v>
      </c>
      <c r="T249" s="175">
        <v>0</v>
      </c>
      <c r="U249" s="175">
        <f t="shared" si="40"/>
        <v>0</v>
      </c>
      <c r="V249" s="175">
        <f t="shared" si="41"/>
        <v>122888.34</v>
      </c>
      <c r="W249" s="174">
        <v>0</v>
      </c>
      <c r="X249" s="174">
        <f t="shared" si="42"/>
        <v>122888.34</v>
      </c>
      <c r="Y249" s="175">
        <v>0</v>
      </c>
      <c r="Z249" s="174">
        <f t="shared" si="43"/>
        <v>122888.34</v>
      </c>
    </row>
    <row r="250" spans="1:26" ht="12.75" hidden="1" outlineLevel="1">
      <c r="A250" s="174" t="s">
        <v>1003</v>
      </c>
      <c r="C250" s="175" t="s">
        <v>1004</v>
      </c>
      <c r="D250" s="175" t="s">
        <v>1005</v>
      </c>
      <c r="E250" s="174">
        <v>0</v>
      </c>
      <c r="F250" s="174">
        <v>28503.99</v>
      </c>
      <c r="G250" s="175">
        <f t="shared" si="37"/>
        <v>28503.99</v>
      </c>
      <c r="H250" s="174">
        <v>8650</v>
      </c>
      <c r="I250" s="174">
        <v>0</v>
      </c>
      <c r="J250" s="174">
        <v>0</v>
      </c>
      <c r="K250" s="174">
        <v>0</v>
      </c>
      <c r="L250" s="174">
        <f t="shared" si="38"/>
        <v>0</v>
      </c>
      <c r="M250" s="174">
        <v>0</v>
      </c>
      <c r="N250" s="174">
        <v>0</v>
      </c>
      <c r="O250" s="174">
        <v>0</v>
      </c>
      <c r="P250" s="174">
        <f t="shared" si="39"/>
        <v>0</v>
      </c>
      <c r="Q250" s="175">
        <v>0</v>
      </c>
      <c r="R250" s="175">
        <v>0</v>
      </c>
      <c r="S250" s="175">
        <v>0</v>
      </c>
      <c r="T250" s="175">
        <v>0</v>
      </c>
      <c r="U250" s="175">
        <f t="shared" si="40"/>
        <v>0</v>
      </c>
      <c r="V250" s="175">
        <f t="shared" si="41"/>
        <v>37153.990000000005</v>
      </c>
      <c r="W250" s="174">
        <v>0</v>
      </c>
      <c r="X250" s="174">
        <f t="shared" si="42"/>
        <v>37153.990000000005</v>
      </c>
      <c r="Y250" s="175">
        <v>0</v>
      </c>
      <c r="Z250" s="174">
        <f t="shared" si="43"/>
        <v>37153.990000000005</v>
      </c>
    </row>
    <row r="251" spans="1:26" ht="12.75" hidden="1" outlineLevel="1">
      <c r="A251" s="174" t="s">
        <v>1006</v>
      </c>
      <c r="C251" s="175" t="s">
        <v>1007</v>
      </c>
      <c r="D251" s="175" t="s">
        <v>1008</v>
      </c>
      <c r="E251" s="174">
        <v>0</v>
      </c>
      <c r="F251" s="174">
        <v>4474.09</v>
      </c>
      <c r="G251" s="175">
        <f t="shared" si="37"/>
        <v>4474.09</v>
      </c>
      <c r="H251" s="174">
        <v>0</v>
      </c>
      <c r="I251" s="174">
        <v>0</v>
      </c>
      <c r="J251" s="174">
        <v>0</v>
      </c>
      <c r="K251" s="174">
        <v>0</v>
      </c>
      <c r="L251" s="174">
        <f t="shared" si="38"/>
        <v>0</v>
      </c>
      <c r="M251" s="174">
        <v>0</v>
      </c>
      <c r="N251" s="174">
        <v>0</v>
      </c>
      <c r="O251" s="174">
        <v>0</v>
      </c>
      <c r="P251" s="174">
        <f t="shared" si="39"/>
        <v>0</v>
      </c>
      <c r="Q251" s="175">
        <v>0</v>
      </c>
      <c r="R251" s="175">
        <v>0</v>
      </c>
      <c r="S251" s="175">
        <v>0</v>
      </c>
      <c r="T251" s="175">
        <v>0</v>
      </c>
      <c r="U251" s="175">
        <f t="shared" si="40"/>
        <v>0</v>
      </c>
      <c r="V251" s="175">
        <f t="shared" si="41"/>
        <v>4474.09</v>
      </c>
      <c r="W251" s="174">
        <v>0</v>
      </c>
      <c r="X251" s="174">
        <f t="shared" si="42"/>
        <v>4474.09</v>
      </c>
      <c r="Y251" s="175">
        <v>0</v>
      </c>
      <c r="Z251" s="174">
        <f t="shared" si="43"/>
        <v>4474.09</v>
      </c>
    </row>
    <row r="252" spans="1:26" ht="12.75" hidden="1" outlineLevel="1">
      <c r="A252" s="174" t="s">
        <v>1009</v>
      </c>
      <c r="C252" s="175" t="s">
        <v>1010</v>
      </c>
      <c r="D252" s="175" t="s">
        <v>1011</v>
      </c>
      <c r="E252" s="174">
        <v>0</v>
      </c>
      <c r="F252" s="174">
        <v>1273946.15</v>
      </c>
      <c r="G252" s="175">
        <f t="shared" si="37"/>
        <v>1273946.15</v>
      </c>
      <c r="H252" s="174">
        <v>27447.81</v>
      </c>
      <c r="I252" s="174">
        <v>0</v>
      </c>
      <c r="J252" s="174">
        <v>0</v>
      </c>
      <c r="K252" s="174">
        <v>0</v>
      </c>
      <c r="L252" s="174">
        <f t="shared" si="38"/>
        <v>0</v>
      </c>
      <c r="M252" s="174">
        <v>0</v>
      </c>
      <c r="N252" s="174">
        <v>0</v>
      </c>
      <c r="O252" s="174">
        <v>0</v>
      </c>
      <c r="P252" s="174">
        <f t="shared" si="39"/>
        <v>0</v>
      </c>
      <c r="Q252" s="175">
        <v>1474.37</v>
      </c>
      <c r="R252" s="175">
        <v>0</v>
      </c>
      <c r="S252" s="175">
        <v>0</v>
      </c>
      <c r="T252" s="175">
        <v>0</v>
      </c>
      <c r="U252" s="175">
        <f t="shared" si="40"/>
        <v>1474.37</v>
      </c>
      <c r="V252" s="175">
        <f t="shared" si="41"/>
        <v>1302868.33</v>
      </c>
      <c r="W252" s="174">
        <v>0</v>
      </c>
      <c r="X252" s="174">
        <f t="shared" si="42"/>
        <v>1302868.33</v>
      </c>
      <c r="Y252" s="175">
        <v>0</v>
      </c>
      <c r="Z252" s="174">
        <f t="shared" si="43"/>
        <v>1302868.33</v>
      </c>
    </row>
    <row r="253" spans="1:26" ht="12.75" hidden="1" outlineLevel="1">
      <c r="A253" s="174" t="s">
        <v>1012</v>
      </c>
      <c r="C253" s="175" t="s">
        <v>1013</v>
      </c>
      <c r="D253" s="175" t="s">
        <v>1014</v>
      </c>
      <c r="E253" s="174">
        <v>0</v>
      </c>
      <c r="F253" s="174">
        <v>86607.73</v>
      </c>
      <c r="G253" s="175">
        <f t="shared" si="37"/>
        <v>86607.73</v>
      </c>
      <c r="H253" s="174">
        <v>7018.45</v>
      </c>
      <c r="I253" s="174">
        <v>0</v>
      </c>
      <c r="J253" s="174">
        <v>0</v>
      </c>
      <c r="K253" s="174">
        <v>0</v>
      </c>
      <c r="L253" s="174">
        <f t="shared" si="38"/>
        <v>0</v>
      </c>
      <c r="M253" s="174">
        <v>0</v>
      </c>
      <c r="N253" s="174">
        <v>0</v>
      </c>
      <c r="O253" s="174">
        <v>0</v>
      </c>
      <c r="P253" s="174">
        <f t="shared" si="39"/>
        <v>0</v>
      </c>
      <c r="Q253" s="175">
        <v>4795.25</v>
      </c>
      <c r="R253" s="175">
        <v>9850.18</v>
      </c>
      <c r="S253" s="175">
        <v>0</v>
      </c>
      <c r="T253" s="175">
        <v>0</v>
      </c>
      <c r="U253" s="175">
        <f t="shared" si="40"/>
        <v>14645.43</v>
      </c>
      <c r="V253" s="175">
        <f t="shared" si="41"/>
        <v>108271.60999999999</v>
      </c>
      <c r="W253" s="174">
        <v>0</v>
      </c>
      <c r="X253" s="174">
        <f t="shared" si="42"/>
        <v>108271.60999999999</v>
      </c>
      <c r="Y253" s="175">
        <v>0</v>
      </c>
      <c r="Z253" s="174">
        <f t="shared" si="43"/>
        <v>108271.60999999999</v>
      </c>
    </row>
    <row r="254" spans="1:26" ht="12.75" hidden="1" outlineLevel="1">
      <c r="A254" s="174" t="s">
        <v>1015</v>
      </c>
      <c r="C254" s="175" t="s">
        <v>1016</v>
      </c>
      <c r="D254" s="175" t="s">
        <v>1017</v>
      </c>
      <c r="E254" s="174">
        <v>0</v>
      </c>
      <c r="F254" s="174">
        <v>142839.82</v>
      </c>
      <c r="G254" s="175">
        <f aca="true" t="shared" si="44" ref="G254:G301">E254+F254</f>
        <v>142839.82</v>
      </c>
      <c r="H254" s="174">
        <v>0</v>
      </c>
      <c r="I254" s="174">
        <v>0</v>
      </c>
      <c r="J254" s="174">
        <v>0</v>
      </c>
      <c r="K254" s="174">
        <v>0</v>
      </c>
      <c r="L254" s="174">
        <f aca="true" t="shared" si="45" ref="L254:L301">J254+I254+K254</f>
        <v>0</v>
      </c>
      <c r="M254" s="174">
        <v>0</v>
      </c>
      <c r="N254" s="174">
        <v>0</v>
      </c>
      <c r="O254" s="174">
        <v>0</v>
      </c>
      <c r="P254" s="174">
        <f aca="true" t="shared" si="46" ref="P254:P301">M254+N254+O254</f>
        <v>0</v>
      </c>
      <c r="Q254" s="175">
        <v>0</v>
      </c>
      <c r="R254" s="175">
        <v>0</v>
      </c>
      <c r="S254" s="175">
        <v>0</v>
      </c>
      <c r="T254" s="175">
        <v>0</v>
      </c>
      <c r="U254" s="175">
        <f aca="true" t="shared" si="47" ref="U254:U301">Q254+R254+S254+T254</f>
        <v>0</v>
      </c>
      <c r="V254" s="175">
        <f aca="true" t="shared" si="48" ref="V254:V301">G254+H254+L254+P254+U254</f>
        <v>142839.82</v>
      </c>
      <c r="W254" s="174">
        <v>0</v>
      </c>
      <c r="X254" s="174">
        <f aca="true" t="shared" si="49" ref="X254:X301">V254+W254</f>
        <v>142839.82</v>
      </c>
      <c r="Y254" s="175">
        <v>0</v>
      </c>
      <c r="Z254" s="174">
        <f aca="true" t="shared" si="50" ref="Z254:Z301">X254+Y254</f>
        <v>142839.82</v>
      </c>
    </row>
    <row r="255" spans="1:26" ht="12.75" hidden="1" outlineLevel="1">
      <c r="A255" s="174" t="s">
        <v>1018</v>
      </c>
      <c r="C255" s="175" t="s">
        <v>1019</v>
      </c>
      <c r="D255" s="175" t="s">
        <v>1020</v>
      </c>
      <c r="E255" s="174">
        <v>0</v>
      </c>
      <c r="F255" s="174">
        <v>5.002220859751105E-11</v>
      </c>
      <c r="G255" s="175">
        <f t="shared" si="44"/>
        <v>5.002220859751105E-11</v>
      </c>
      <c r="H255" s="174">
        <v>0</v>
      </c>
      <c r="I255" s="174">
        <v>0</v>
      </c>
      <c r="J255" s="174">
        <v>0</v>
      </c>
      <c r="K255" s="174">
        <v>0</v>
      </c>
      <c r="L255" s="174">
        <f t="shared" si="45"/>
        <v>0</v>
      </c>
      <c r="M255" s="174">
        <v>0</v>
      </c>
      <c r="N255" s="174">
        <v>0</v>
      </c>
      <c r="O255" s="174">
        <v>0</v>
      </c>
      <c r="P255" s="174">
        <f t="shared" si="46"/>
        <v>0</v>
      </c>
      <c r="Q255" s="175">
        <v>0</v>
      </c>
      <c r="R255" s="175">
        <v>0</v>
      </c>
      <c r="S255" s="175">
        <v>0</v>
      </c>
      <c r="T255" s="175">
        <v>0</v>
      </c>
      <c r="U255" s="175">
        <f t="shared" si="47"/>
        <v>0</v>
      </c>
      <c r="V255" s="175">
        <f t="shared" si="48"/>
        <v>5.002220859751105E-11</v>
      </c>
      <c r="W255" s="174">
        <v>0</v>
      </c>
      <c r="X255" s="174">
        <f t="shared" si="49"/>
        <v>5.002220859751105E-11</v>
      </c>
      <c r="Y255" s="175">
        <v>0</v>
      </c>
      <c r="Z255" s="174">
        <f t="shared" si="50"/>
        <v>5.002220859751105E-11</v>
      </c>
    </row>
    <row r="256" spans="1:26" ht="12.75" hidden="1" outlineLevel="1">
      <c r="A256" s="174" t="s">
        <v>1021</v>
      </c>
      <c r="C256" s="175" t="s">
        <v>1022</v>
      </c>
      <c r="D256" s="175" t="s">
        <v>1023</v>
      </c>
      <c r="E256" s="174">
        <v>0</v>
      </c>
      <c r="F256" s="174">
        <v>5736.39</v>
      </c>
      <c r="G256" s="175">
        <f t="shared" si="44"/>
        <v>5736.39</v>
      </c>
      <c r="H256" s="174">
        <v>69.87</v>
      </c>
      <c r="I256" s="174">
        <v>0</v>
      </c>
      <c r="J256" s="174">
        <v>0</v>
      </c>
      <c r="K256" s="174">
        <v>0</v>
      </c>
      <c r="L256" s="174">
        <f t="shared" si="45"/>
        <v>0</v>
      </c>
      <c r="M256" s="174">
        <v>0</v>
      </c>
      <c r="N256" s="174">
        <v>0</v>
      </c>
      <c r="O256" s="174">
        <v>0</v>
      </c>
      <c r="P256" s="174">
        <f t="shared" si="46"/>
        <v>0</v>
      </c>
      <c r="Q256" s="175">
        <v>0</v>
      </c>
      <c r="R256" s="175">
        <v>0</v>
      </c>
      <c r="S256" s="175">
        <v>0</v>
      </c>
      <c r="T256" s="175">
        <v>0</v>
      </c>
      <c r="U256" s="175">
        <f t="shared" si="47"/>
        <v>0</v>
      </c>
      <c r="V256" s="175">
        <f t="shared" si="48"/>
        <v>5806.26</v>
      </c>
      <c r="W256" s="174">
        <v>0</v>
      </c>
      <c r="X256" s="174">
        <f t="shared" si="49"/>
        <v>5806.26</v>
      </c>
      <c r="Y256" s="175">
        <v>0</v>
      </c>
      <c r="Z256" s="174">
        <f t="shared" si="50"/>
        <v>5806.26</v>
      </c>
    </row>
    <row r="257" spans="1:26" ht="12.75" hidden="1" outlineLevel="1">
      <c r="A257" s="174" t="s">
        <v>1024</v>
      </c>
      <c r="C257" s="175" t="s">
        <v>1025</v>
      </c>
      <c r="D257" s="175" t="s">
        <v>1026</v>
      </c>
      <c r="E257" s="174">
        <v>0</v>
      </c>
      <c r="F257" s="174">
        <v>2629603.72</v>
      </c>
      <c r="G257" s="175">
        <f t="shared" si="44"/>
        <v>2629603.72</v>
      </c>
      <c r="H257" s="174">
        <v>147.29</v>
      </c>
      <c r="I257" s="174">
        <v>0</v>
      </c>
      <c r="J257" s="174">
        <v>0</v>
      </c>
      <c r="K257" s="174">
        <v>0</v>
      </c>
      <c r="L257" s="174">
        <f t="shared" si="45"/>
        <v>0</v>
      </c>
      <c r="M257" s="174">
        <v>0</v>
      </c>
      <c r="N257" s="174">
        <v>0</v>
      </c>
      <c r="O257" s="174">
        <v>0</v>
      </c>
      <c r="P257" s="174">
        <f t="shared" si="46"/>
        <v>0</v>
      </c>
      <c r="Q257" s="175">
        <v>0</v>
      </c>
      <c r="R257" s="175">
        <v>0</v>
      </c>
      <c r="S257" s="175">
        <v>0</v>
      </c>
      <c r="T257" s="175">
        <v>0</v>
      </c>
      <c r="U257" s="175">
        <f t="shared" si="47"/>
        <v>0</v>
      </c>
      <c r="V257" s="175">
        <f t="shared" si="48"/>
        <v>2629751.0100000002</v>
      </c>
      <c r="W257" s="174">
        <v>0</v>
      </c>
      <c r="X257" s="174">
        <f t="shared" si="49"/>
        <v>2629751.0100000002</v>
      </c>
      <c r="Y257" s="175">
        <v>0</v>
      </c>
      <c r="Z257" s="174">
        <f t="shared" si="50"/>
        <v>2629751.0100000002</v>
      </c>
    </row>
    <row r="258" spans="1:26" ht="12.75" hidden="1" outlineLevel="1">
      <c r="A258" s="174" t="s">
        <v>1027</v>
      </c>
      <c r="C258" s="175" t="s">
        <v>1028</v>
      </c>
      <c r="D258" s="175" t="s">
        <v>1029</v>
      </c>
      <c r="E258" s="174">
        <v>0</v>
      </c>
      <c r="F258" s="174">
        <v>322191.52</v>
      </c>
      <c r="G258" s="175">
        <f t="shared" si="44"/>
        <v>322191.52</v>
      </c>
      <c r="H258" s="174">
        <v>20</v>
      </c>
      <c r="I258" s="174">
        <v>0</v>
      </c>
      <c r="J258" s="174">
        <v>0</v>
      </c>
      <c r="K258" s="174">
        <v>0</v>
      </c>
      <c r="L258" s="174">
        <f t="shared" si="45"/>
        <v>0</v>
      </c>
      <c r="M258" s="174">
        <v>0</v>
      </c>
      <c r="N258" s="174">
        <v>0</v>
      </c>
      <c r="O258" s="174">
        <v>0</v>
      </c>
      <c r="P258" s="174">
        <f t="shared" si="46"/>
        <v>0</v>
      </c>
      <c r="Q258" s="175">
        <v>0</v>
      </c>
      <c r="R258" s="175">
        <v>0</v>
      </c>
      <c r="S258" s="175">
        <v>0</v>
      </c>
      <c r="T258" s="175">
        <v>0</v>
      </c>
      <c r="U258" s="175">
        <f t="shared" si="47"/>
        <v>0</v>
      </c>
      <c r="V258" s="175">
        <f t="shared" si="48"/>
        <v>322211.52</v>
      </c>
      <c r="W258" s="174">
        <v>0</v>
      </c>
      <c r="X258" s="174">
        <f t="shared" si="49"/>
        <v>322211.52</v>
      </c>
      <c r="Y258" s="175">
        <v>0</v>
      </c>
      <c r="Z258" s="174">
        <f t="shared" si="50"/>
        <v>322211.52</v>
      </c>
    </row>
    <row r="259" spans="1:26" ht="12.75" hidden="1" outlineLevel="1">
      <c r="A259" s="174" t="s">
        <v>1030</v>
      </c>
      <c r="C259" s="175" t="s">
        <v>1031</v>
      </c>
      <c r="D259" s="175" t="s">
        <v>1032</v>
      </c>
      <c r="E259" s="174">
        <v>0</v>
      </c>
      <c r="F259" s="174">
        <v>126126.48</v>
      </c>
      <c r="G259" s="175">
        <f t="shared" si="44"/>
        <v>126126.48</v>
      </c>
      <c r="H259" s="174">
        <v>22</v>
      </c>
      <c r="I259" s="174">
        <v>0</v>
      </c>
      <c r="J259" s="174">
        <v>0</v>
      </c>
      <c r="K259" s="174">
        <v>0</v>
      </c>
      <c r="L259" s="174">
        <f t="shared" si="45"/>
        <v>0</v>
      </c>
      <c r="M259" s="174">
        <v>0</v>
      </c>
      <c r="N259" s="174">
        <v>0</v>
      </c>
      <c r="O259" s="174">
        <v>0</v>
      </c>
      <c r="P259" s="174">
        <f t="shared" si="46"/>
        <v>0</v>
      </c>
      <c r="Q259" s="175">
        <v>0</v>
      </c>
      <c r="R259" s="175">
        <v>0</v>
      </c>
      <c r="S259" s="175">
        <v>0</v>
      </c>
      <c r="T259" s="175">
        <v>0</v>
      </c>
      <c r="U259" s="175">
        <f t="shared" si="47"/>
        <v>0</v>
      </c>
      <c r="V259" s="175">
        <f t="shared" si="48"/>
        <v>126148.48</v>
      </c>
      <c r="W259" s="174">
        <v>0</v>
      </c>
      <c r="X259" s="174">
        <f t="shared" si="49"/>
        <v>126148.48</v>
      </c>
      <c r="Y259" s="175">
        <v>0</v>
      </c>
      <c r="Z259" s="174">
        <f t="shared" si="50"/>
        <v>126148.48</v>
      </c>
    </row>
    <row r="260" spans="1:26" ht="12.75" hidden="1" outlineLevel="1">
      <c r="A260" s="174" t="s">
        <v>1033</v>
      </c>
      <c r="C260" s="175" t="s">
        <v>1034</v>
      </c>
      <c r="D260" s="175" t="s">
        <v>1035</v>
      </c>
      <c r="E260" s="174">
        <v>0</v>
      </c>
      <c r="F260" s="174">
        <v>3925.21</v>
      </c>
      <c r="G260" s="175">
        <f t="shared" si="44"/>
        <v>3925.21</v>
      </c>
      <c r="H260" s="174">
        <v>17.43</v>
      </c>
      <c r="I260" s="174">
        <v>0</v>
      </c>
      <c r="J260" s="174">
        <v>0</v>
      </c>
      <c r="K260" s="174">
        <v>0</v>
      </c>
      <c r="L260" s="174">
        <f t="shared" si="45"/>
        <v>0</v>
      </c>
      <c r="M260" s="174">
        <v>0</v>
      </c>
      <c r="N260" s="174">
        <v>0</v>
      </c>
      <c r="O260" s="174">
        <v>0</v>
      </c>
      <c r="P260" s="174">
        <f t="shared" si="46"/>
        <v>0</v>
      </c>
      <c r="Q260" s="175">
        <v>0</v>
      </c>
      <c r="R260" s="175">
        <v>0</v>
      </c>
      <c r="S260" s="175">
        <v>0</v>
      </c>
      <c r="T260" s="175">
        <v>0</v>
      </c>
      <c r="U260" s="175">
        <f t="shared" si="47"/>
        <v>0</v>
      </c>
      <c r="V260" s="175">
        <f t="shared" si="48"/>
        <v>3942.64</v>
      </c>
      <c r="W260" s="174">
        <v>0</v>
      </c>
      <c r="X260" s="174">
        <f t="shared" si="49"/>
        <v>3942.64</v>
      </c>
      <c r="Y260" s="175">
        <v>0</v>
      </c>
      <c r="Z260" s="174">
        <f t="shared" si="50"/>
        <v>3942.64</v>
      </c>
    </row>
    <row r="261" spans="1:26" ht="12.75" hidden="1" outlineLevel="1">
      <c r="A261" s="174" t="s">
        <v>1036</v>
      </c>
      <c r="C261" s="175" t="s">
        <v>1037</v>
      </c>
      <c r="D261" s="175" t="s">
        <v>1038</v>
      </c>
      <c r="E261" s="174">
        <v>0</v>
      </c>
      <c r="F261" s="174">
        <v>426388.94</v>
      </c>
      <c r="G261" s="175">
        <f t="shared" si="44"/>
        <v>426388.94</v>
      </c>
      <c r="H261" s="174">
        <v>0</v>
      </c>
      <c r="I261" s="174">
        <v>0</v>
      </c>
      <c r="J261" s="174">
        <v>0</v>
      </c>
      <c r="K261" s="174">
        <v>0</v>
      </c>
      <c r="L261" s="174">
        <f t="shared" si="45"/>
        <v>0</v>
      </c>
      <c r="M261" s="174">
        <v>0</v>
      </c>
      <c r="N261" s="174">
        <v>0</v>
      </c>
      <c r="O261" s="174">
        <v>0</v>
      </c>
      <c r="P261" s="174">
        <f t="shared" si="46"/>
        <v>0</v>
      </c>
      <c r="Q261" s="175">
        <v>0</v>
      </c>
      <c r="R261" s="175">
        <v>0</v>
      </c>
      <c r="S261" s="175">
        <v>0</v>
      </c>
      <c r="T261" s="175">
        <v>0</v>
      </c>
      <c r="U261" s="175">
        <f t="shared" si="47"/>
        <v>0</v>
      </c>
      <c r="V261" s="175">
        <f t="shared" si="48"/>
        <v>426388.94</v>
      </c>
      <c r="W261" s="174">
        <v>0</v>
      </c>
      <c r="X261" s="174">
        <f t="shared" si="49"/>
        <v>426388.94</v>
      </c>
      <c r="Y261" s="175">
        <v>0</v>
      </c>
      <c r="Z261" s="174">
        <f t="shared" si="50"/>
        <v>426388.94</v>
      </c>
    </row>
    <row r="262" spans="1:26" ht="12.75" hidden="1" outlineLevel="1">
      <c r="A262" s="174" t="s">
        <v>1039</v>
      </c>
      <c r="C262" s="175" t="s">
        <v>1040</v>
      </c>
      <c r="D262" s="175" t="s">
        <v>1041</v>
      </c>
      <c r="E262" s="174">
        <v>0</v>
      </c>
      <c r="F262" s="174">
        <v>13987.56</v>
      </c>
      <c r="G262" s="175">
        <f t="shared" si="44"/>
        <v>13987.56</v>
      </c>
      <c r="H262" s="174">
        <v>0</v>
      </c>
      <c r="I262" s="174">
        <v>0</v>
      </c>
      <c r="J262" s="174">
        <v>0</v>
      </c>
      <c r="K262" s="174">
        <v>0</v>
      </c>
      <c r="L262" s="174">
        <f t="shared" si="45"/>
        <v>0</v>
      </c>
      <c r="M262" s="174">
        <v>0</v>
      </c>
      <c r="N262" s="174">
        <v>0</v>
      </c>
      <c r="O262" s="174">
        <v>0</v>
      </c>
      <c r="P262" s="174">
        <f t="shared" si="46"/>
        <v>0</v>
      </c>
      <c r="Q262" s="175">
        <v>0</v>
      </c>
      <c r="R262" s="175">
        <v>0</v>
      </c>
      <c r="S262" s="175">
        <v>0</v>
      </c>
      <c r="T262" s="175">
        <v>0</v>
      </c>
      <c r="U262" s="175">
        <f t="shared" si="47"/>
        <v>0</v>
      </c>
      <c r="V262" s="175">
        <f t="shared" si="48"/>
        <v>13987.56</v>
      </c>
      <c r="W262" s="174">
        <v>0</v>
      </c>
      <c r="X262" s="174">
        <f t="shared" si="49"/>
        <v>13987.56</v>
      </c>
      <c r="Y262" s="175">
        <v>0</v>
      </c>
      <c r="Z262" s="174">
        <f t="shared" si="50"/>
        <v>13987.56</v>
      </c>
    </row>
    <row r="263" spans="1:26" ht="12.75" hidden="1" outlineLevel="1">
      <c r="A263" s="174" t="s">
        <v>1042</v>
      </c>
      <c r="C263" s="175" t="s">
        <v>1043</v>
      </c>
      <c r="D263" s="175" t="s">
        <v>1044</v>
      </c>
      <c r="E263" s="174">
        <v>0</v>
      </c>
      <c r="F263" s="174">
        <v>136686.99</v>
      </c>
      <c r="G263" s="175">
        <f t="shared" si="44"/>
        <v>136686.99</v>
      </c>
      <c r="H263" s="174">
        <v>725.91</v>
      </c>
      <c r="I263" s="174">
        <v>0</v>
      </c>
      <c r="J263" s="174">
        <v>0</v>
      </c>
      <c r="K263" s="174">
        <v>0</v>
      </c>
      <c r="L263" s="174">
        <f t="shared" si="45"/>
        <v>0</v>
      </c>
      <c r="M263" s="174">
        <v>0</v>
      </c>
      <c r="N263" s="174">
        <v>0</v>
      </c>
      <c r="O263" s="174">
        <v>0</v>
      </c>
      <c r="P263" s="174">
        <f t="shared" si="46"/>
        <v>0</v>
      </c>
      <c r="Q263" s="175">
        <v>0</v>
      </c>
      <c r="R263" s="175">
        <v>0</v>
      </c>
      <c r="S263" s="175">
        <v>0</v>
      </c>
      <c r="T263" s="175">
        <v>0</v>
      </c>
      <c r="U263" s="175">
        <f t="shared" si="47"/>
        <v>0</v>
      </c>
      <c r="V263" s="175">
        <f t="shared" si="48"/>
        <v>137412.9</v>
      </c>
      <c r="W263" s="174">
        <v>0</v>
      </c>
      <c r="X263" s="174">
        <f t="shared" si="49"/>
        <v>137412.9</v>
      </c>
      <c r="Y263" s="175">
        <v>0</v>
      </c>
      <c r="Z263" s="174">
        <f t="shared" si="50"/>
        <v>137412.9</v>
      </c>
    </row>
    <row r="264" spans="1:26" ht="12.75" hidden="1" outlineLevel="1">
      <c r="A264" s="174" t="s">
        <v>1045</v>
      </c>
      <c r="C264" s="175" t="s">
        <v>1046</v>
      </c>
      <c r="D264" s="175" t="s">
        <v>1047</v>
      </c>
      <c r="E264" s="174">
        <v>0</v>
      </c>
      <c r="F264" s="174">
        <v>0</v>
      </c>
      <c r="G264" s="175">
        <f t="shared" si="44"/>
        <v>0</v>
      </c>
      <c r="H264" s="174">
        <v>0</v>
      </c>
      <c r="I264" s="174">
        <v>0</v>
      </c>
      <c r="J264" s="174">
        <v>0</v>
      </c>
      <c r="K264" s="174">
        <v>0</v>
      </c>
      <c r="L264" s="174">
        <f t="shared" si="45"/>
        <v>0</v>
      </c>
      <c r="M264" s="174">
        <v>0</v>
      </c>
      <c r="N264" s="174">
        <v>0</v>
      </c>
      <c r="O264" s="174">
        <v>0</v>
      </c>
      <c r="P264" s="174">
        <f t="shared" si="46"/>
        <v>0</v>
      </c>
      <c r="Q264" s="175">
        <v>-57355</v>
      </c>
      <c r="R264" s="175">
        <v>-409580.78</v>
      </c>
      <c r="S264" s="175">
        <v>0</v>
      </c>
      <c r="T264" s="175">
        <v>0</v>
      </c>
      <c r="U264" s="175">
        <f t="shared" si="47"/>
        <v>-466935.78</v>
      </c>
      <c r="V264" s="175">
        <f t="shared" si="48"/>
        <v>-466935.78</v>
      </c>
      <c r="W264" s="174">
        <v>0</v>
      </c>
      <c r="X264" s="174">
        <f t="shared" si="49"/>
        <v>-466935.78</v>
      </c>
      <c r="Y264" s="175">
        <v>0</v>
      </c>
      <c r="Z264" s="174">
        <f t="shared" si="50"/>
        <v>-466935.78</v>
      </c>
    </row>
    <row r="265" spans="1:26" ht="12.75" hidden="1" outlineLevel="1">
      <c r="A265" s="174" t="s">
        <v>1048</v>
      </c>
      <c r="C265" s="175" t="s">
        <v>1049</v>
      </c>
      <c r="D265" s="175" t="s">
        <v>1050</v>
      </c>
      <c r="E265" s="174">
        <v>0</v>
      </c>
      <c r="F265" s="174">
        <v>0</v>
      </c>
      <c r="G265" s="175">
        <f t="shared" si="44"/>
        <v>0</v>
      </c>
      <c r="H265" s="174">
        <v>0</v>
      </c>
      <c r="I265" s="174">
        <v>0</v>
      </c>
      <c r="J265" s="174">
        <v>0</v>
      </c>
      <c r="K265" s="174">
        <v>0</v>
      </c>
      <c r="L265" s="174">
        <f t="shared" si="45"/>
        <v>0</v>
      </c>
      <c r="M265" s="174">
        <v>0</v>
      </c>
      <c r="N265" s="174">
        <v>0</v>
      </c>
      <c r="O265" s="174">
        <v>0</v>
      </c>
      <c r="P265" s="174">
        <f t="shared" si="46"/>
        <v>0</v>
      </c>
      <c r="Q265" s="175">
        <v>0</v>
      </c>
      <c r="R265" s="175">
        <v>0</v>
      </c>
      <c r="S265" s="175">
        <v>0</v>
      </c>
      <c r="T265" s="175">
        <v>723841.58</v>
      </c>
      <c r="U265" s="175">
        <f t="shared" si="47"/>
        <v>723841.58</v>
      </c>
      <c r="V265" s="175">
        <f t="shared" si="48"/>
        <v>723841.58</v>
      </c>
      <c r="W265" s="174">
        <v>0</v>
      </c>
      <c r="X265" s="174">
        <f t="shared" si="49"/>
        <v>723841.58</v>
      </c>
      <c r="Y265" s="175">
        <v>0</v>
      </c>
      <c r="Z265" s="174">
        <f t="shared" si="50"/>
        <v>723841.58</v>
      </c>
    </row>
    <row r="266" spans="1:26" ht="12.75" hidden="1" outlineLevel="1">
      <c r="A266" s="174" t="s">
        <v>1051</v>
      </c>
      <c r="C266" s="175" t="s">
        <v>1052</v>
      </c>
      <c r="D266" s="175" t="s">
        <v>1053</v>
      </c>
      <c r="E266" s="174">
        <v>0</v>
      </c>
      <c r="F266" s="174">
        <v>3.728928277269006E-11</v>
      </c>
      <c r="G266" s="175">
        <f t="shared" si="44"/>
        <v>3.728928277269006E-11</v>
      </c>
      <c r="H266" s="174">
        <v>0</v>
      </c>
      <c r="I266" s="174">
        <v>0</v>
      </c>
      <c r="J266" s="174">
        <v>0</v>
      </c>
      <c r="K266" s="174">
        <v>0</v>
      </c>
      <c r="L266" s="174">
        <f t="shared" si="45"/>
        <v>0</v>
      </c>
      <c r="M266" s="174">
        <v>0</v>
      </c>
      <c r="N266" s="174">
        <v>0</v>
      </c>
      <c r="O266" s="174">
        <v>0</v>
      </c>
      <c r="P266" s="174">
        <f t="shared" si="46"/>
        <v>0</v>
      </c>
      <c r="Q266" s="175">
        <v>0</v>
      </c>
      <c r="R266" s="175">
        <v>0</v>
      </c>
      <c r="S266" s="175">
        <v>0</v>
      </c>
      <c r="T266" s="175">
        <v>0</v>
      </c>
      <c r="U266" s="175">
        <f t="shared" si="47"/>
        <v>0</v>
      </c>
      <c r="V266" s="175">
        <f t="shared" si="48"/>
        <v>3.728928277269006E-11</v>
      </c>
      <c r="W266" s="174">
        <v>0</v>
      </c>
      <c r="X266" s="174">
        <f t="shared" si="49"/>
        <v>3.728928277269006E-11</v>
      </c>
      <c r="Y266" s="175">
        <v>0</v>
      </c>
      <c r="Z266" s="174">
        <f t="shared" si="50"/>
        <v>3.728928277269006E-11</v>
      </c>
    </row>
    <row r="267" spans="1:26" ht="12.75" hidden="1" outlineLevel="1">
      <c r="A267" s="174" t="s">
        <v>1054</v>
      </c>
      <c r="C267" s="175" t="s">
        <v>1055</v>
      </c>
      <c r="D267" s="175" t="s">
        <v>1056</v>
      </c>
      <c r="E267" s="174">
        <v>0</v>
      </c>
      <c r="F267" s="174">
        <v>0</v>
      </c>
      <c r="G267" s="175">
        <f t="shared" si="44"/>
        <v>0</v>
      </c>
      <c r="H267" s="174">
        <v>0</v>
      </c>
      <c r="I267" s="174">
        <v>0</v>
      </c>
      <c r="J267" s="174">
        <v>0</v>
      </c>
      <c r="K267" s="174">
        <v>732.05</v>
      </c>
      <c r="L267" s="174">
        <f t="shared" si="45"/>
        <v>732.05</v>
      </c>
      <c r="M267" s="174">
        <v>0</v>
      </c>
      <c r="N267" s="174">
        <v>0</v>
      </c>
      <c r="O267" s="174">
        <v>0</v>
      </c>
      <c r="P267" s="174">
        <f t="shared" si="46"/>
        <v>0</v>
      </c>
      <c r="Q267" s="175">
        <v>0</v>
      </c>
      <c r="R267" s="175">
        <v>0</v>
      </c>
      <c r="S267" s="175">
        <v>0</v>
      </c>
      <c r="T267" s="175">
        <v>0</v>
      </c>
      <c r="U267" s="175">
        <f t="shared" si="47"/>
        <v>0</v>
      </c>
      <c r="V267" s="175">
        <f t="shared" si="48"/>
        <v>732.05</v>
      </c>
      <c r="W267" s="174">
        <v>0</v>
      </c>
      <c r="X267" s="174">
        <f t="shared" si="49"/>
        <v>732.05</v>
      </c>
      <c r="Y267" s="175">
        <v>0</v>
      </c>
      <c r="Z267" s="174">
        <f t="shared" si="50"/>
        <v>732.05</v>
      </c>
    </row>
    <row r="268" spans="1:26" ht="12.75" hidden="1" outlineLevel="1">
      <c r="A268" s="174" t="s">
        <v>1057</v>
      </c>
      <c r="C268" s="175" t="s">
        <v>1058</v>
      </c>
      <c r="D268" s="175" t="s">
        <v>1059</v>
      </c>
      <c r="E268" s="174">
        <v>0</v>
      </c>
      <c r="F268" s="174">
        <v>0</v>
      </c>
      <c r="G268" s="175">
        <f t="shared" si="44"/>
        <v>0</v>
      </c>
      <c r="H268" s="174">
        <v>0</v>
      </c>
      <c r="I268" s="174">
        <v>0</v>
      </c>
      <c r="J268" s="174">
        <v>0</v>
      </c>
      <c r="K268" s="174">
        <v>51878.13</v>
      </c>
      <c r="L268" s="174">
        <f t="shared" si="45"/>
        <v>51878.13</v>
      </c>
      <c r="M268" s="174">
        <v>0</v>
      </c>
      <c r="N268" s="174">
        <v>0</v>
      </c>
      <c r="O268" s="174">
        <v>0</v>
      </c>
      <c r="P268" s="174">
        <f t="shared" si="46"/>
        <v>0</v>
      </c>
      <c r="Q268" s="175">
        <v>0</v>
      </c>
      <c r="R268" s="175">
        <v>0</v>
      </c>
      <c r="S268" s="175">
        <v>0</v>
      </c>
      <c r="T268" s="175">
        <v>0</v>
      </c>
      <c r="U268" s="175">
        <f t="shared" si="47"/>
        <v>0</v>
      </c>
      <c r="V268" s="175">
        <f t="shared" si="48"/>
        <v>51878.13</v>
      </c>
      <c r="W268" s="174">
        <v>0</v>
      </c>
      <c r="X268" s="174">
        <f t="shared" si="49"/>
        <v>51878.13</v>
      </c>
      <c r="Y268" s="175">
        <v>0</v>
      </c>
      <c r="Z268" s="174">
        <f t="shared" si="50"/>
        <v>51878.13</v>
      </c>
    </row>
    <row r="269" spans="1:26" ht="12.75" hidden="1" outlineLevel="1">
      <c r="A269" s="174" t="s">
        <v>1060</v>
      </c>
      <c r="C269" s="175" t="s">
        <v>1061</v>
      </c>
      <c r="D269" s="175" t="s">
        <v>1062</v>
      </c>
      <c r="E269" s="174">
        <v>0</v>
      </c>
      <c r="F269" s="174">
        <v>0</v>
      </c>
      <c r="G269" s="175">
        <f t="shared" si="44"/>
        <v>0</v>
      </c>
      <c r="H269" s="174">
        <v>0</v>
      </c>
      <c r="I269" s="174">
        <v>0</v>
      </c>
      <c r="J269" s="174">
        <v>0</v>
      </c>
      <c r="K269" s="174">
        <v>0</v>
      </c>
      <c r="L269" s="174">
        <f t="shared" si="45"/>
        <v>0</v>
      </c>
      <c r="M269" s="174">
        <v>0</v>
      </c>
      <c r="N269" s="174">
        <v>0</v>
      </c>
      <c r="O269" s="174">
        <v>0</v>
      </c>
      <c r="P269" s="174">
        <f t="shared" si="46"/>
        <v>0</v>
      </c>
      <c r="Q269" s="175">
        <v>0</v>
      </c>
      <c r="R269" s="175">
        <v>-293846.3</v>
      </c>
      <c r="S269" s="175">
        <v>0</v>
      </c>
      <c r="T269" s="175">
        <v>293846.3</v>
      </c>
      <c r="U269" s="175">
        <f t="shared" si="47"/>
        <v>0</v>
      </c>
      <c r="V269" s="175">
        <f t="shared" si="48"/>
        <v>0</v>
      </c>
      <c r="W269" s="174">
        <v>0</v>
      </c>
      <c r="X269" s="174">
        <f t="shared" si="49"/>
        <v>0</v>
      </c>
      <c r="Y269" s="175">
        <v>0</v>
      </c>
      <c r="Z269" s="174">
        <f t="shared" si="50"/>
        <v>0</v>
      </c>
    </row>
    <row r="270" spans="1:27" ht="12.75" collapsed="1">
      <c r="A270" s="212" t="s">
        <v>1063</v>
      </c>
      <c r="B270" s="213"/>
      <c r="C270" s="212" t="s">
        <v>2839</v>
      </c>
      <c r="D270" s="214"/>
      <c r="E270" s="193">
        <v>0</v>
      </c>
      <c r="F270" s="193">
        <v>20816448.922000006</v>
      </c>
      <c r="G270" s="116">
        <f t="shared" si="44"/>
        <v>20816448.922000006</v>
      </c>
      <c r="H270" s="116">
        <v>11340771.080000002</v>
      </c>
      <c r="I270" s="116">
        <v>0</v>
      </c>
      <c r="J270" s="116">
        <v>0</v>
      </c>
      <c r="K270" s="116">
        <v>52610.18</v>
      </c>
      <c r="L270" s="116">
        <f t="shared" si="45"/>
        <v>52610.18</v>
      </c>
      <c r="M270" s="116">
        <v>0</v>
      </c>
      <c r="N270" s="116">
        <v>2964.91</v>
      </c>
      <c r="O270" s="116">
        <v>6469.77</v>
      </c>
      <c r="P270" s="116">
        <f t="shared" si="46"/>
        <v>9434.68</v>
      </c>
      <c r="Q270" s="116">
        <v>35458.41</v>
      </c>
      <c r="R270" s="116">
        <v>-527692.65</v>
      </c>
      <c r="S270" s="116">
        <v>0</v>
      </c>
      <c r="T270" s="116">
        <v>1017687.88</v>
      </c>
      <c r="U270" s="116">
        <f t="shared" si="47"/>
        <v>525453.64</v>
      </c>
      <c r="V270" s="116">
        <f t="shared" si="48"/>
        <v>32744718.502000008</v>
      </c>
      <c r="W270" s="116">
        <v>0</v>
      </c>
      <c r="X270" s="116">
        <f t="shared" si="49"/>
        <v>32744718.502000008</v>
      </c>
      <c r="Y270" s="116">
        <v>12576268.16</v>
      </c>
      <c r="Z270" s="116">
        <f t="shared" si="50"/>
        <v>45320986.66200001</v>
      </c>
      <c r="AA270" s="212"/>
    </row>
    <row r="271" spans="1:26" ht="12.75" hidden="1" outlineLevel="1">
      <c r="A271" s="174" t="s">
        <v>1064</v>
      </c>
      <c r="C271" s="175" t="s">
        <v>1065</v>
      </c>
      <c r="D271" s="175" t="s">
        <v>1066</v>
      </c>
      <c r="E271" s="174">
        <v>0</v>
      </c>
      <c r="F271" s="174">
        <v>4741000</v>
      </c>
      <c r="G271" s="175">
        <f t="shared" si="44"/>
        <v>4741000</v>
      </c>
      <c r="H271" s="174">
        <v>0</v>
      </c>
      <c r="I271" s="174">
        <v>0</v>
      </c>
      <c r="J271" s="174">
        <v>0</v>
      </c>
      <c r="K271" s="174">
        <v>0</v>
      </c>
      <c r="L271" s="174">
        <f t="shared" si="45"/>
        <v>0</v>
      </c>
      <c r="M271" s="174">
        <v>0</v>
      </c>
      <c r="N271" s="174">
        <v>0</v>
      </c>
      <c r="O271" s="174">
        <v>0</v>
      </c>
      <c r="P271" s="174">
        <f t="shared" si="46"/>
        <v>0</v>
      </c>
      <c r="Q271" s="175">
        <v>0</v>
      </c>
      <c r="R271" s="175">
        <v>0</v>
      </c>
      <c r="S271" s="175">
        <v>0</v>
      </c>
      <c r="T271" s="175">
        <v>0</v>
      </c>
      <c r="U271" s="175">
        <f t="shared" si="47"/>
        <v>0</v>
      </c>
      <c r="V271" s="175">
        <f t="shared" si="48"/>
        <v>4741000</v>
      </c>
      <c r="W271" s="174">
        <v>0</v>
      </c>
      <c r="X271" s="174">
        <f t="shared" si="49"/>
        <v>4741000</v>
      </c>
      <c r="Y271" s="175">
        <v>0</v>
      </c>
      <c r="Z271" s="174">
        <f t="shared" si="50"/>
        <v>4741000</v>
      </c>
    </row>
    <row r="272" spans="1:27" ht="12.75" collapsed="1">
      <c r="A272" s="212" t="s">
        <v>1067</v>
      </c>
      <c r="B272" s="213"/>
      <c r="C272" s="212" t="s">
        <v>2840</v>
      </c>
      <c r="D272" s="214"/>
      <c r="E272" s="193">
        <v>0</v>
      </c>
      <c r="F272" s="193">
        <v>4741000</v>
      </c>
      <c r="G272" s="116">
        <f t="shared" si="44"/>
        <v>4741000</v>
      </c>
      <c r="H272" s="116">
        <v>0</v>
      </c>
      <c r="I272" s="116">
        <v>0</v>
      </c>
      <c r="J272" s="116">
        <v>0</v>
      </c>
      <c r="K272" s="116">
        <v>0</v>
      </c>
      <c r="L272" s="116">
        <f t="shared" si="45"/>
        <v>0</v>
      </c>
      <c r="M272" s="116">
        <v>0</v>
      </c>
      <c r="N272" s="116">
        <v>0</v>
      </c>
      <c r="O272" s="116">
        <v>0</v>
      </c>
      <c r="P272" s="116">
        <f t="shared" si="46"/>
        <v>0</v>
      </c>
      <c r="Q272" s="116">
        <v>0</v>
      </c>
      <c r="R272" s="116">
        <v>0</v>
      </c>
      <c r="S272" s="116">
        <v>0</v>
      </c>
      <c r="T272" s="116">
        <v>0</v>
      </c>
      <c r="U272" s="116">
        <f t="shared" si="47"/>
        <v>0</v>
      </c>
      <c r="V272" s="116">
        <f t="shared" si="48"/>
        <v>4741000</v>
      </c>
      <c r="W272" s="116">
        <v>0</v>
      </c>
      <c r="X272" s="116">
        <f t="shared" si="49"/>
        <v>4741000</v>
      </c>
      <c r="Y272" s="116">
        <v>0</v>
      </c>
      <c r="Z272" s="116">
        <f t="shared" si="50"/>
        <v>4741000</v>
      </c>
      <c r="AA272" s="212"/>
    </row>
    <row r="273" spans="1:26" ht="12.75" hidden="1" outlineLevel="1">
      <c r="A273" s="174" t="s">
        <v>1068</v>
      </c>
      <c r="C273" s="175" t="s">
        <v>1069</v>
      </c>
      <c r="D273" s="175" t="s">
        <v>1070</v>
      </c>
      <c r="E273" s="174">
        <v>0</v>
      </c>
      <c r="F273" s="174">
        <v>0</v>
      </c>
      <c r="G273" s="175">
        <f t="shared" si="44"/>
        <v>0</v>
      </c>
      <c r="H273" s="174">
        <v>0</v>
      </c>
      <c r="I273" s="174">
        <v>0</v>
      </c>
      <c r="J273" s="174">
        <v>0</v>
      </c>
      <c r="K273" s="174">
        <v>0</v>
      </c>
      <c r="L273" s="174">
        <f t="shared" si="45"/>
        <v>0</v>
      </c>
      <c r="M273" s="174">
        <v>0</v>
      </c>
      <c r="N273" s="174">
        <v>0</v>
      </c>
      <c r="O273" s="174">
        <v>0</v>
      </c>
      <c r="P273" s="174">
        <f t="shared" si="46"/>
        <v>0</v>
      </c>
      <c r="Q273" s="175">
        <v>0</v>
      </c>
      <c r="R273" s="175">
        <v>0</v>
      </c>
      <c r="S273" s="175">
        <v>0</v>
      </c>
      <c r="T273" s="175">
        <v>-5373027.47</v>
      </c>
      <c r="U273" s="175">
        <f t="shared" si="47"/>
        <v>-5373027.47</v>
      </c>
      <c r="V273" s="175">
        <f t="shared" si="48"/>
        <v>-5373027.47</v>
      </c>
      <c r="W273" s="174">
        <v>0</v>
      </c>
      <c r="X273" s="174">
        <f t="shared" si="49"/>
        <v>-5373027.47</v>
      </c>
      <c r="Y273" s="175">
        <v>0</v>
      </c>
      <c r="Z273" s="174">
        <f t="shared" si="50"/>
        <v>-5373027.47</v>
      </c>
    </row>
    <row r="274" spans="1:26" ht="12.75" hidden="1" outlineLevel="1">
      <c r="A274" s="174" t="s">
        <v>1071</v>
      </c>
      <c r="C274" s="175" t="s">
        <v>1072</v>
      </c>
      <c r="D274" s="175" t="s">
        <v>1073</v>
      </c>
      <c r="E274" s="174">
        <v>0</v>
      </c>
      <c r="F274" s="174">
        <v>0</v>
      </c>
      <c r="G274" s="175">
        <f t="shared" si="44"/>
        <v>0</v>
      </c>
      <c r="H274" s="174">
        <v>0</v>
      </c>
      <c r="I274" s="174">
        <v>0</v>
      </c>
      <c r="J274" s="174">
        <v>0</v>
      </c>
      <c r="K274" s="174">
        <v>0</v>
      </c>
      <c r="L274" s="174">
        <f t="shared" si="45"/>
        <v>0</v>
      </c>
      <c r="M274" s="174">
        <v>0</v>
      </c>
      <c r="N274" s="174">
        <v>0</v>
      </c>
      <c r="O274" s="174">
        <v>0</v>
      </c>
      <c r="P274" s="174">
        <f t="shared" si="46"/>
        <v>0</v>
      </c>
      <c r="Q274" s="175">
        <v>0</v>
      </c>
      <c r="R274" s="175">
        <v>0</v>
      </c>
      <c r="S274" s="175">
        <v>0</v>
      </c>
      <c r="T274" s="175">
        <v>414239.26</v>
      </c>
      <c r="U274" s="175">
        <f t="shared" si="47"/>
        <v>414239.26</v>
      </c>
      <c r="V274" s="175">
        <f t="shared" si="48"/>
        <v>414239.26</v>
      </c>
      <c r="W274" s="174">
        <v>0</v>
      </c>
      <c r="X274" s="174">
        <f t="shared" si="49"/>
        <v>414239.26</v>
      </c>
      <c r="Y274" s="175">
        <v>0</v>
      </c>
      <c r="Z274" s="174">
        <f t="shared" si="50"/>
        <v>414239.26</v>
      </c>
    </row>
    <row r="275" spans="1:26" ht="12.75" hidden="1" outlineLevel="1">
      <c r="A275" s="174" t="s">
        <v>1074</v>
      </c>
      <c r="C275" s="175" t="s">
        <v>1075</v>
      </c>
      <c r="D275" s="175" t="s">
        <v>1076</v>
      </c>
      <c r="E275" s="174">
        <v>0</v>
      </c>
      <c r="F275" s="174">
        <v>0</v>
      </c>
      <c r="G275" s="175">
        <f t="shared" si="44"/>
        <v>0</v>
      </c>
      <c r="H275" s="174">
        <v>0</v>
      </c>
      <c r="I275" s="174">
        <v>0</v>
      </c>
      <c r="J275" s="174">
        <v>0</v>
      </c>
      <c r="K275" s="174">
        <v>0</v>
      </c>
      <c r="L275" s="174">
        <f t="shared" si="45"/>
        <v>0</v>
      </c>
      <c r="M275" s="174">
        <v>0</v>
      </c>
      <c r="N275" s="174">
        <v>0</v>
      </c>
      <c r="O275" s="174">
        <v>0</v>
      </c>
      <c r="P275" s="174">
        <f t="shared" si="46"/>
        <v>0</v>
      </c>
      <c r="Q275" s="175">
        <v>0</v>
      </c>
      <c r="R275" s="175">
        <v>0</v>
      </c>
      <c r="S275" s="175">
        <v>0</v>
      </c>
      <c r="T275" s="175">
        <v>-10829326.59</v>
      </c>
      <c r="U275" s="175">
        <f t="shared" si="47"/>
        <v>-10829326.59</v>
      </c>
      <c r="V275" s="175">
        <f t="shared" si="48"/>
        <v>-10829326.59</v>
      </c>
      <c r="W275" s="174">
        <v>0</v>
      </c>
      <c r="X275" s="174">
        <f t="shared" si="49"/>
        <v>-10829326.59</v>
      </c>
      <c r="Y275" s="175">
        <v>0</v>
      </c>
      <c r="Z275" s="174">
        <f t="shared" si="50"/>
        <v>-10829326.59</v>
      </c>
    </row>
    <row r="276" spans="1:26" ht="12.75" hidden="1" outlineLevel="1">
      <c r="A276" s="174" t="s">
        <v>1077</v>
      </c>
      <c r="C276" s="175" t="s">
        <v>1078</v>
      </c>
      <c r="D276" s="175" t="s">
        <v>1079</v>
      </c>
      <c r="E276" s="174">
        <v>0</v>
      </c>
      <c r="F276" s="174">
        <v>0</v>
      </c>
      <c r="G276" s="175">
        <f t="shared" si="44"/>
        <v>0</v>
      </c>
      <c r="H276" s="174">
        <v>0</v>
      </c>
      <c r="I276" s="174">
        <v>0</v>
      </c>
      <c r="J276" s="174">
        <v>0</v>
      </c>
      <c r="K276" s="174">
        <v>0</v>
      </c>
      <c r="L276" s="174">
        <f t="shared" si="45"/>
        <v>0</v>
      </c>
      <c r="M276" s="174">
        <v>0</v>
      </c>
      <c r="N276" s="174">
        <v>0</v>
      </c>
      <c r="O276" s="174">
        <v>0</v>
      </c>
      <c r="P276" s="174">
        <f t="shared" si="46"/>
        <v>0</v>
      </c>
      <c r="Q276" s="175">
        <v>0</v>
      </c>
      <c r="R276" s="175">
        <v>0</v>
      </c>
      <c r="S276" s="175">
        <v>0</v>
      </c>
      <c r="T276" s="175">
        <v>-994110.69</v>
      </c>
      <c r="U276" s="175">
        <f t="shared" si="47"/>
        <v>-994110.69</v>
      </c>
      <c r="V276" s="175">
        <f t="shared" si="48"/>
        <v>-994110.69</v>
      </c>
      <c r="W276" s="174">
        <v>0</v>
      </c>
      <c r="X276" s="174">
        <f t="shared" si="49"/>
        <v>-994110.69</v>
      </c>
      <c r="Y276" s="175">
        <v>0</v>
      </c>
      <c r="Z276" s="174">
        <f t="shared" si="50"/>
        <v>-994110.69</v>
      </c>
    </row>
    <row r="277" spans="1:26" ht="12.75" hidden="1" outlineLevel="1">
      <c r="A277" s="174" t="s">
        <v>1080</v>
      </c>
      <c r="C277" s="175" t="s">
        <v>1081</v>
      </c>
      <c r="D277" s="175" t="s">
        <v>1082</v>
      </c>
      <c r="E277" s="174">
        <v>0</v>
      </c>
      <c r="F277" s="174">
        <v>0</v>
      </c>
      <c r="G277" s="175">
        <f t="shared" si="44"/>
        <v>0</v>
      </c>
      <c r="H277" s="174">
        <v>0</v>
      </c>
      <c r="I277" s="174">
        <v>0</v>
      </c>
      <c r="J277" s="174">
        <v>0</v>
      </c>
      <c r="K277" s="174">
        <v>0</v>
      </c>
      <c r="L277" s="174">
        <f t="shared" si="45"/>
        <v>0</v>
      </c>
      <c r="M277" s="174">
        <v>0</v>
      </c>
      <c r="N277" s="174">
        <v>0</v>
      </c>
      <c r="O277" s="174">
        <v>0</v>
      </c>
      <c r="P277" s="174">
        <f t="shared" si="46"/>
        <v>0</v>
      </c>
      <c r="Q277" s="175">
        <v>0</v>
      </c>
      <c r="R277" s="175">
        <v>0</v>
      </c>
      <c r="S277" s="175">
        <v>0</v>
      </c>
      <c r="T277" s="175">
        <v>-39000</v>
      </c>
      <c r="U277" s="175">
        <f t="shared" si="47"/>
        <v>-39000</v>
      </c>
      <c r="V277" s="175">
        <f t="shared" si="48"/>
        <v>-39000</v>
      </c>
      <c r="W277" s="174">
        <v>0</v>
      </c>
      <c r="X277" s="174">
        <f t="shared" si="49"/>
        <v>-39000</v>
      </c>
      <c r="Y277" s="175">
        <v>0</v>
      </c>
      <c r="Z277" s="174">
        <f t="shared" si="50"/>
        <v>-39000</v>
      </c>
    </row>
    <row r="278" spans="1:26" ht="12.75" hidden="1" outlineLevel="1">
      <c r="A278" s="174" t="s">
        <v>1083</v>
      </c>
      <c r="C278" s="175" t="s">
        <v>1084</v>
      </c>
      <c r="D278" s="175" t="s">
        <v>1085</v>
      </c>
      <c r="E278" s="174">
        <v>0</v>
      </c>
      <c r="F278" s="174">
        <v>88966.77</v>
      </c>
      <c r="G278" s="175">
        <f t="shared" si="44"/>
        <v>88966.77</v>
      </c>
      <c r="H278" s="174">
        <v>18141.1</v>
      </c>
      <c r="I278" s="174">
        <v>0</v>
      </c>
      <c r="J278" s="174">
        <v>0</v>
      </c>
      <c r="K278" s="174">
        <v>0</v>
      </c>
      <c r="L278" s="174">
        <f t="shared" si="45"/>
        <v>0</v>
      </c>
      <c r="M278" s="174">
        <v>0</v>
      </c>
      <c r="N278" s="174">
        <v>0</v>
      </c>
      <c r="O278" s="174">
        <v>0</v>
      </c>
      <c r="P278" s="174">
        <f t="shared" si="46"/>
        <v>0</v>
      </c>
      <c r="Q278" s="175">
        <v>0</v>
      </c>
      <c r="R278" s="175">
        <v>0</v>
      </c>
      <c r="S278" s="175">
        <v>0</v>
      </c>
      <c r="T278" s="175">
        <v>0</v>
      </c>
      <c r="U278" s="175">
        <f t="shared" si="47"/>
        <v>0</v>
      </c>
      <c r="V278" s="175">
        <f t="shared" si="48"/>
        <v>107107.87</v>
      </c>
      <c r="W278" s="174">
        <v>0</v>
      </c>
      <c r="X278" s="174">
        <f t="shared" si="49"/>
        <v>107107.87</v>
      </c>
      <c r="Y278" s="175">
        <v>0</v>
      </c>
      <c r="Z278" s="174">
        <f t="shared" si="50"/>
        <v>107107.87</v>
      </c>
    </row>
    <row r="279" spans="1:26" ht="12.75" hidden="1" outlineLevel="1">
      <c r="A279" s="174" t="s">
        <v>1086</v>
      </c>
      <c r="C279" s="175" t="s">
        <v>1087</v>
      </c>
      <c r="D279" s="175" t="s">
        <v>1088</v>
      </c>
      <c r="E279" s="174">
        <v>0</v>
      </c>
      <c r="F279" s="174">
        <v>0</v>
      </c>
      <c r="G279" s="175">
        <f t="shared" si="44"/>
        <v>0</v>
      </c>
      <c r="H279" s="174">
        <v>1750915</v>
      </c>
      <c r="I279" s="174">
        <v>0</v>
      </c>
      <c r="J279" s="174">
        <v>0</v>
      </c>
      <c r="K279" s="174">
        <v>0</v>
      </c>
      <c r="L279" s="174">
        <f t="shared" si="45"/>
        <v>0</v>
      </c>
      <c r="M279" s="174">
        <v>0</v>
      </c>
      <c r="N279" s="174">
        <v>0</v>
      </c>
      <c r="O279" s="174">
        <v>0</v>
      </c>
      <c r="P279" s="174">
        <f t="shared" si="46"/>
        <v>0</v>
      </c>
      <c r="Q279" s="175">
        <v>0</v>
      </c>
      <c r="R279" s="175">
        <v>0</v>
      </c>
      <c r="S279" s="175">
        <v>0</v>
      </c>
      <c r="T279" s="175">
        <v>0</v>
      </c>
      <c r="U279" s="175">
        <f t="shared" si="47"/>
        <v>0</v>
      </c>
      <c r="V279" s="175">
        <f t="shared" si="48"/>
        <v>1750915</v>
      </c>
      <c r="W279" s="174">
        <v>0</v>
      </c>
      <c r="X279" s="174">
        <f t="shared" si="49"/>
        <v>1750915</v>
      </c>
      <c r="Y279" s="175">
        <v>0</v>
      </c>
      <c r="Z279" s="174">
        <f t="shared" si="50"/>
        <v>1750915</v>
      </c>
    </row>
    <row r="280" spans="1:26" ht="12.75" hidden="1" outlineLevel="1">
      <c r="A280" s="174" t="s">
        <v>1089</v>
      </c>
      <c r="C280" s="175" t="s">
        <v>1090</v>
      </c>
      <c r="D280" s="175" t="s">
        <v>1091</v>
      </c>
      <c r="E280" s="174">
        <v>0</v>
      </c>
      <c r="F280" s="174">
        <v>52273.25</v>
      </c>
      <c r="G280" s="175">
        <f t="shared" si="44"/>
        <v>52273.25</v>
      </c>
      <c r="H280" s="174">
        <v>0</v>
      </c>
      <c r="I280" s="174">
        <v>0</v>
      </c>
      <c r="J280" s="174">
        <v>0</v>
      </c>
      <c r="K280" s="174">
        <v>0</v>
      </c>
      <c r="L280" s="174">
        <f t="shared" si="45"/>
        <v>0</v>
      </c>
      <c r="M280" s="174">
        <v>0</v>
      </c>
      <c r="N280" s="174">
        <v>0</v>
      </c>
      <c r="O280" s="174">
        <v>0</v>
      </c>
      <c r="P280" s="174">
        <f t="shared" si="46"/>
        <v>0</v>
      </c>
      <c r="Q280" s="175">
        <v>0</v>
      </c>
      <c r="R280" s="175">
        <v>0</v>
      </c>
      <c r="S280" s="175">
        <v>0</v>
      </c>
      <c r="T280" s="175">
        <v>0</v>
      </c>
      <c r="U280" s="175">
        <f t="shared" si="47"/>
        <v>0</v>
      </c>
      <c r="V280" s="175">
        <f t="shared" si="48"/>
        <v>52273.25</v>
      </c>
      <c r="W280" s="174">
        <v>0</v>
      </c>
      <c r="X280" s="174">
        <f t="shared" si="49"/>
        <v>52273.25</v>
      </c>
      <c r="Y280" s="175">
        <v>0</v>
      </c>
      <c r="Z280" s="174">
        <f t="shared" si="50"/>
        <v>52273.25</v>
      </c>
    </row>
    <row r="281" spans="1:26" ht="12.75" hidden="1" outlineLevel="1">
      <c r="A281" s="174" t="s">
        <v>1092</v>
      </c>
      <c r="C281" s="175" t="s">
        <v>1093</v>
      </c>
      <c r="D281" s="175" t="s">
        <v>1094</v>
      </c>
      <c r="E281" s="174">
        <v>0</v>
      </c>
      <c r="F281" s="174">
        <v>91320.68</v>
      </c>
      <c r="G281" s="175">
        <f t="shared" si="44"/>
        <v>91320.68</v>
      </c>
      <c r="H281" s="174">
        <v>322464.91</v>
      </c>
      <c r="I281" s="174">
        <v>0</v>
      </c>
      <c r="J281" s="174">
        <v>0</v>
      </c>
      <c r="K281" s="174">
        <v>0</v>
      </c>
      <c r="L281" s="174">
        <f t="shared" si="45"/>
        <v>0</v>
      </c>
      <c r="M281" s="174">
        <v>0</v>
      </c>
      <c r="N281" s="174">
        <v>0</v>
      </c>
      <c r="O281" s="174">
        <v>0</v>
      </c>
      <c r="P281" s="174">
        <f t="shared" si="46"/>
        <v>0</v>
      </c>
      <c r="Q281" s="175">
        <v>0</v>
      </c>
      <c r="R281" s="175">
        <v>0</v>
      </c>
      <c r="S281" s="175">
        <v>0</v>
      </c>
      <c r="T281" s="175">
        <v>0</v>
      </c>
      <c r="U281" s="175">
        <f t="shared" si="47"/>
        <v>0</v>
      </c>
      <c r="V281" s="175">
        <f t="shared" si="48"/>
        <v>413785.58999999997</v>
      </c>
      <c r="W281" s="174">
        <v>0</v>
      </c>
      <c r="X281" s="174">
        <f t="shared" si="49"/>
        <v>413785.58999999997</v>
      </c>
      <c r="Y281" s="175">
        <v>0</v>
      </c>
      <c r="Z281" s="174">
        <f t="shared" si="50"/>
        <v>413785.58999999997</v>
      </c>
    </row>
    <row r="282" spans="1:26" ht="12.75" hidden="1" outlineLevel="1">
      <c r="A282" s="174" t="s">
        <v>1095</v>
      </c>
      <c r="C282" s="175" t="s">
        <v>1096</v>
      </c>
      <c r="D282" s="175" t="s">
        <v>1097</v>
      </c>
      <c r="E282" s="174">
        <v>0</v>
      </c>
      <c r="F282" s="174">
        <v>629439.41</v>
      </c>
      <c r="G282" s="175">
        <f t="shared" si="44"/>
        <v>629439.41</v>
      </c>
      <c r="H282" s="174">
        <v>1773634.62</v>
      </c>
      <c r="I282" s="174">
        <v>0</v>
      </c>
      <c r="J282" s="174">
        <v>0</v>
      </c>
      <c r="K282" s="174">
        <v>0</v>
      </c>
      <c r="L282" s="174">
        <f t="shared" si="45"/>
        <v>0</v>
      </c>
      <c r="M282" s="174">
        <v>0</v>
      </c>
      <c r="N282" s="174">
        <v>0</v>
      </c>
      <c r="O282" s="174">
        <v>0</v>
      </c>
      <c r="P282" s="174">
        <f t="shared" si="46"/>
        <v>0</v>
      </c>
      <c r="Q282" s="175">
        <v>-10000</v>
      </c>
      <c r="R282" s="175">
        <v>0</v>
      </c>
      <c r="S282" s="175">
        <v>0</v>
      </c>
      <c r="T282" s="175">
        <v>0</v>
      </c>
      <c r="U282" s="175">
        <f t="shared" si="47"/>
        <v>-10000</v>
      </c>
      <c r="V282" s="175">
        <f t="shared" si="48"/>
        <v>2393074.0300000003</v>
      </c>
      <c r="W282" s="174">
        <v>0</v>
      </c>
      <c r="X282" s="174">
        <f t="shared" si="49"/>
        <v>2393074.0300000003</v>
      </c>
      <c r="Y282" s="175">
        <v>0</v>
      </c>
      <c r="Z282" s="174">
        <f t="shared" si="50"/>
        <v>2393074.0300000003</v>
      </c>
    </row>
    <row r="283" spans="1:26" ht="12.75" hidden="1" outlineLevel="1">
      <c r="A283" s="174" t="s">
        <v>1098</v>
      </c>
      <c r="C283" s="175" t="s">
        <v>1099</v>
      </c>
      <c r="D283" s="175" t="s">
        <v>1100</v>
      </c>
      <c r="E283" s="174">
        <v>0</v>
      </c>
      <c r="F283" s="174">
        <v>0</v>
      </c>
      <c r="G283" s="175">
        <f t="shared" si="44"/>
        <v>0</v>
      </c>
      <c r="H283" s="174">
        <v>0</v>
      </c>
      <c r="I283" s="174">
        <v>0</v>
      </c>
      <c r="J283" s="174">
        <v>0</v>
      </c>
      <c r="K283" s="174">
        <v>0</v>
      </c>
      <c r="L283" s="174">
        <f t="shared" si="45"/>
        <v>0</v>
      </c>
      <c r="M283" s="174">
        <v>0</v>
      </c>
      <c r="N283" s="174">
        <v>0</v>
      </c>
      <c r="O283" s="174">
        <v>0</v>
      </c>
      <c r="P283" s="174">
        <f t="shared" si="46"/>
        <v>0</v>
      </c>
      <c r="Q283" s="175">
        <v>5757</v>
      </c>
      <c r="R283" s="175">
        <v>0</v>
      </c>
      <c r="S283" s="175">
        <v>0</v>
      </c>
      <c r="T283" s="175">
        <v>0</v>
      </c>
      <c r="U283" s="175">
        <f t="shared" si="47"/>
        <v>5757</v>
      </c>
      <c r="V283" s="175">
        <f t="shared" si="48"/>
        <v>5757</v>
      </c>
      <c r="W283" s="174">
        <v>0</v>
      </c>
      <c r="X283" s="174">
        <f t="shared" si="49"/>
        <v>5757</v>
      </c>
      <c r="Y283" s="175">
        <v>0</v>
      </c>
      <c r="Z283" s="174">
        <f t="shared" si="50"/>
        <v>5757</v>
      </c>
    </row>
    <row r="284" spans="1:26" ht="12.75" hidden="1" outlineLevel="1">
      <c r="A284" s="174" t="s">
        <v>1101</v>
      </c>
      <c r="C284" s="175" t="s">
        <v>1102</v>
      </c>
      <c r="D284" s="175" t="s">
        <v>1103</v>
      </c>
      <c r="E284" s="174">
        <v>0</v>
      </c>
      <c r="F284" s="174">
        <v>48952.5</v>
      </c>
      <c r="G284" s="175">
        <f t="shared" si="44"/>
        <v>48952.5</v>
      </c>
      <c r="H284" s="174">
        <v>14106.5</v>
      </c>
      <c r="I284" s="174">
        <v>0</v>
      </c>
      <c r="J284" s="174">
        <v>0</v>
      </c>
      <c r="K284" s="174">
        <v>0</v>
      </c>
      <c r="L284" s="174">
        <f t="shared" si="45"/>
        <v>0</v>
      </c>
      <c r="M284" s="174">
        <v>0</v>
      </c>
      <c r="N284" s="174">
        <v>0</v>
      </c>
      <c r="O284" s="174">
        <v>0</v>
      </c>
      <c r="P284" s="174">
        <f t="shared" si="46"/>
        <v>0</v>
      </c>
      <c r="Q284" s="175">
        <v>0</v>
      </c>
      <c r="R284" s="175">
        <v>0</v>
      </c>
      <c r="S284" s="175">
        <v>0</v>
      </c>
      <c r="T284" s="175">
        <v>0</v>
      </c>
      <c r="U284" s="175">
        <f t="shared" si="47"/>
        <v>0</v>
      </c>
      <c r="V284" s="175">
        <f t="shared" si="48"/>
        <v>63059</v>
      </c>
      <c r="W284" s="174">
        <v>0</v>
      </c>
      <c r="X284" s="174">
        <f t="shared" si="49"/>
        <v>63059</v>
      </c>
      <c r="Y284" s="175">
        <v>0</v>
      </c>
      <c r="Z284" s="174">
        <f t="shared" si="50"/>
        <v>63059</v>
      </c>
    </row>
    <row r="285" spans="1:26" ht="12.75" hidden="1" outlineLevel="1">
      <c r="A285" s="174" t="s">
        <v>1104</v>
      </c>
      <c r="C285" s="175" t="s">
        <v>1105</v>
      </c>
      <c r="D285" s="175" t="s">
        <v>1106</v>
      </c>
      <c r="E285" s="174">
        <v>0</v>
      </c>
      <c r="F285" s="174">
        <v>12768</v>
      </c>
      <c r="G285" s="175">
        <f t="shared" si="44"/>
        <v>12768</v>
      </c>
      <c r="H285" s="174">
        <v>27950</v>
      </c>
      <c r="I285" s="174">
        <v>0</v>
      </c>
      <c r="J285" s="174">
        <v>0</v>
      </c>
      <c r="K285" s="174">
        <v>0</v>
      </c>
      <c r="L285" s="174">
        <f t="shared" si="45"/>
        <v>0</v>
      </c>
      <c r="M285" s="174">
        <v>0</v>
      </c>
      <c r="N285" s="174">
        <v>0</v>
      </c>
      <c r="O285" s="174">
        <v>0</v>
      </c>
      <c r="P285" s="174">
        <f t="shared" si="46"/>
        <v>0</v>
      </c>
      <c r="Q285" s="175">
        <v>0</v>
      </c>
      <c r="R285" s="175">
        <v>0</v>
      </c>
      <c r="S285" s="175">
        <v>0</v>
      </c>
      <c r="T285" s="175">
        <v>0</v>
      </c>
      <c r="U285" s="175">
        <f t="shared" si="47"/>
        <v>0</v>
      </c>
      <c r="V285" s="175">
        <f t="shared" si="48"/>
        <v>40718</v>
      </c>
      <c r="W285" s="174">
        <v>0</v>
      </c>
      <c r="X285" s="174">
        <f t="shared" si="49"/>
        <v>40718</v>
      </c>
      <c r="Y285" s="175">
        <v>0</v>
      </c>
      <c r="Z285" s="174">
        <f t="shared" si="50"/>
        <v>40718</v>
      </c>
    </row>
    <row r="286" spans="1:26" ht="12.75" hidden="1" outlineLevel="1">
      <c r="A286" s="174" t="s">
        <v>1107</v>
      </c>
      <c r="C286" s="175" t="s">
        <v>1108</v>
      </c>
      <c r="D286" s="175" t="s">
        <v>1109</v>
      </c>
      <c r="E286" s="174">
        <v>0</v>
      </c>
      <c r="F286" s="174">
        <v>0</v>
      </c>
      <c r="G286" s="175">
        <f t="shared" si="44"/>
        <v>0</v>
      </c>
      <c r="H286" s="174">
        <v>35866</v>
      </c>
      <c r="I286" s="174">
        <v>0</v>
      </c>
      <c r="J286" s="174">
        <v>0</v>
      </c>
      <c r="K286" s="174">
        <v>0</v>
      </c>
      <c r="L286" s="174">
        <f t="shared" si="45"/>
        <v>0</v>
      </c>
      <c r="M286" s="174">
        <v>0</v>
      </c>
      <c r="N286" s="174">
        <v>0</v>
      </c>
      <c r="O286" s="174">
        <v>0</v>
      </c>
      <c r="P286" s="174">
        <f t="shared" si="46"/>
        <v>0</v>
      </c>
      <c r="Q286" s="175">
        <v>0</v>
      </c>
      <c r="R286" s="175">
        <v>0</v>
      </c>
      <c r="S286" s="175">
        <v>0</v>
      </c>
      <c r="T286" s="175">
        <v>0</v>
      </c>
      <c r="U286" s="175">
        <f t="shared" si="47"/>
        <v>0</v>
      </c>
      <c r="V286" s="175">
        <f t="shared" si="48"/>
        <v>35866</v>
      </c>
      <c r="W286" s="174">
        <v>0</v>
      </c>
      <c r="X286" s="174">
        <f t="shared" si="49"/>
        <v>35866</v>
      </c>
      <c r="Y286" s="175">
        <v>0</v>
      </c>
      <c r="Z286" s="174">
        <f t="shared" si="50"/>
        <v>35866</v>
      </c>
    </row>
    <row r="287" spans="1:26" ht="12.75" hidden="1" outlineLevel="1">
      <c r="A287" s="174" t="s">
        <v>1110</v>
      </c>
      <c r="C287" s="175" t="s">
        <v>1111</v>
      </c>
      <c r="D287" s="175" t="s">
        <v>1112</v>
      </c>
      <c r="E287" s="174">
        <v>0</v>
      </c>
      <c r="F287" s="174">
        <v>3818</v>
      </c>
      <c r="G287" s="175">
        <f t="shared" si="44"/>
        <v>3818</v>
      </c>
      <c r="H287" s="174">
        <v>65460.6</v>
      </c>
      <c r="I287" s="174">
        <v>0</v>
      </c>
      <c r="J287" s="174">
        <v>0</v>
      </c>
      <c r="K287" s="174">
        <v>0</v>
      </c>
      <c r="L287" s="174">
        <f t="shared" si="45"/>
        <v>0</v>
      </c>
      <c r="M287" s="174">
        <v>0</v>
      </c>
      <c r="N287" s="174">
        <v>0</v>
      </c>
      <c r="O287" s="174">
        <v>0</v>
      </c>
      <c r="P287" s="174">
        <f t="shared" si="46"/>
        <v>0</v>
      </c>
      <c r="Q287" s="175">
        <v>0</v>
      </c>
      <c r="R287" s="175">
        <v>0</v>
      </c>
      <c r="S287" s="175">
        <v>0</v>
      </c>
      <c r="T287" s="175">
        <v>0</v>
      </c>
      <c r="U287" s="175">
        <f t="shared" si="47"/>
        <v>0</v>
      </c>
      <c r="V287" s="175">
        <f t="shared" si="48"/>
        <v>69278.6</v>
      </c>
      <c r="W287" s="174">
        <v>0</v>
      </c>
      <c r="X287" s="174">
        <f t="shared" si="49"/>
        <v>69278.6</v>
      </c>
      <c r="Y287" s="175">
        <v>0</v>
      </c>
      <c r="Z287" s="174">
        <f t="shared" si="50"/>
        <v>69278.6</v>
      </c>
    </row>
    <row r="288" spans="1:26" ht="12.75" hidden="1" outlineLevel="1">
      <c r="A288" s="174" t="s">
        <v>1113</v>
      </c>
      <c r="C288" s="175" t="s">
        <v>1114</v>
      </c>
      <c r="D288" s="175" t="s">
        <v>1115</v>
      </c>
      <c r="E288" s="174">
        <v>0</v>
      </c>
      <c r="F288" s="174">
        <v>980672.96</v>
      </c>
      <c r="G288" s="175">
        <f t="shared" si="44"/>
        <v>980672.96</v>
      </c>
      <c r="H288" s="174">
        <v>13437.73</v>
      </c>
      <c r="I288" s="174">
        <v>0</v>
      </c>
      <c r="J288" s="174">
        <v>0</v>
      </c>
      <c r="K288" s="174">
        <v>0</v>
      </c>
      <c r="L288" s="174">
        <f t="shared" si="45"/>
        <v>0</v>
      </c>
      <c r="M288" s="174">
        <v>0</v>
      </c>
      <c r="N288" s="174">
        <v>0</v>
      </c>
      <c r="O288" s="174">
        <v>0</v>
      </c>
      <c r="P288" s="174">
        <f t="shared" si="46"/>
        <v>0</v>
      </c>
      <c r="Q288" s="175">
        <v>0</v>
      </c>
      <c r="R288" s="175">
        <v>0</v>
      </c>
      <c r="S288" s="175">
        <v>0</v>
      </c>
      <c r="T288" s="175">
        <v>0</v>
      </c>
      <c r="U288" s="175">
        <f t="shared" si="47"/>
        <v>0</v>
      </c>
      <c r="V288" s="175">
        <f t="shared" si="48"/>
        <v>994110.69</v>
      </c>
      <c r="W288" s="174">
        <v>0</v>
      </c>
      <c r="X288" s="174">
        <f t="shared" si="49"/>
        <v>994110.69</v>
      </c>
      <c r="Y288" s="175">
        <v>0</v>
      </c>
      <c r="Z288" s="174">
        <f t="shared" si="50"/>
        <v>994110.69</v>
      </c>
    </row>
    <row r="289" spans="1:26" ht="12.75" hidden="1" outlineLevel="1">
      <c r="A289" s="174" t="s">
        <v>1116</v>
      </c>
      <c r="C289" s="175" t="s">
        <v>1117</v>
      </c>
      <c r="D289" s="175" t="s">
        <v>1118</v>
      </c>
      <c r="E289" s="174">
        <v>0</v>
      </c>
      <c r="F289" s="174">
        <v>104069.61</v>
      </c>
      <c r="G289" s="175">
        <f t="shared" si="44"/>
        <v>104069.61</v>
      </c>
      <c r="H289" s="174">
        <v>0</v>
      </c>
      <c r="I289" s="174">
        <v>0</v>
      </c>
      <c r="J289" s="174">
        <v>0</v>
      </c>
      <c r="K289" s="174">
        <v>0</v>
      </c>
      <c r="L289" s="174">
        <f t="shared" si="45"/>
        <v>0</v>
      </c>
      <c r="M289" s="174">
        <v>0</v>
      </c>
      <c r="N289" s="174">
        <v>0</v>
      </c>
      <c r="O289" s="174">
        <v>0</v>
      </c>
      <c r="P289" s="174">
        <f t="shared" si="46"/>
        <v>0</v>
      </c>
      <c r="Q289" s="175">
        <v>20737.78</v>
      </c>
      <c r="R289" s="175">
        <v>20692.54</v>
      </c>
      <c r="S289" s="175">
        <v>0</v>
      </c>
      <c r="T289" s="175">
        <v>0</v>
      </c>
      <c r="U289" s="175">
        <f t="shared" si="47"/>
        <v>41430.32</v>
      </c>
      <c r="V289" s="175">
        <f t="shared" si="48"/>
        <v>145499.93</v>
      </c>
      <c r="W289" s="174">
        <v>0</v>
      </c>
      <c r="X289" s="174">
        <f t="shared" si="49"/>
        <v>145499.93</v>
      </c>
      <c r="Y289" s="175">
        <v>0</v>
      </c>
      <c r="Z289" s="174">
        <f t="shared" si="50"/>
        <v>145499.93</v>
      </c>
    </row>
    <row r="290" spans="1:26" ht="12.75" hidden="1" outlineLevel="1">
      <c r="A290" s="174" t="s">
        <v>1119</v>
      </c>
      <c r="C290" s="175" t="s">
        <v>1120</v>
      </c>
      <c r="D290" s="175" t="s">
        <v>1121</v>
      </c>
      <c r="E290" s="174">
        <v>0</v>
      </c>
      <c r="F290" s="174">
        <v>543567.69</v>
      </c>
      <c r="G290" s="175">
        <f t="shared" si="44"/>
        <v>543567.69</v>
      </c>
      <c r="H290" s="174">
        <v>84168.95</v>
      </c>
      <c r="I290" s="174">
        <v>0</v>
      </c>
      <c r="J290" s="174">
        <v>0</v>
      </c>
      <c r="K290" s="174">
        <v>0</v>
      </c>
      <c r="L290" s="174">
        <f t="shared" si="45"/>
        <v>0</v>
      </c>
      <c r="M290" s="174">
        <v>0</v>
      </c>
      <c r="N290" s="174">
        <v>0</v>
      </c>
      <c r="O290" s="174">
        <v>0</v>
      </c>
      <c r="P290" s="174">
        <f t="shared" si="46"/>
        <v>0</v>
      </c>
      <c r="Q290" s="175">
        <v>1410547.33</v>
      </c>
      <c r="R290" s="175">
        <v>273657.93</v>
      </c>
      <c r="S290" s="175">
        <v>0</v>
      </c>
      <c r="T290" s="175">
        <v>0</v>
      </c>
      <c r="U290" s="175">
        <f t="shared" si="47"/>
        <v>1684205.26</v>
      </c>
      <c r="V290" s="175">
        <f t="shared" si="48"/>
        <v>2311941.9</v>
      </c>
      <c r="W290" s="174">
        <v>0</v>
      </c>
      <c r="X290" s="174">
        <f t="shared" si="49"/>
        <v>2311941.9</v>
      </c>
      <c r="Y290" s="175">
        <v>0</v>
      </c>
      <c r="Z290" s="174">
        <f t="shared" si="50"/>
        <v>2311941.9</v>
      </c>
    </row>
    <row r="291" spans="1:26" ht="12.75" hidden="1" outlineLevel="1">
      <c r="A291" s="174" t="s">
        <v>1122</v>
      </c>
      <c r="C291" s="175" t="s">
        <v>1123</v>
      </c>
      <c r="D291" s="175" t="s">
        <v>1124</v>
      </c>
      <c r="E291" s="174">
        <v>0</v>
      </c>
      <c r="F291" s="174">
        <v>547375.79</v>
      </c>
      <c r="G291" s="175">
        <f t="shared" si="44"/>
        <v>547375.79</v>
      </c>
      <c r="H291" s="174">
        <v>0</v>
      </c>
      <c r="I291" s="174">
        <v>0</v>
      </c>
      <c r="J291" s="174">
        <v>0</v>
      </c>
      <c r="K291" s="174">
        <v>0</v>
      </c>
      <c r="L291" s="174">
        <f t="shared" si="45"/>
        <v>0</v>
      </c>
      <c r="M291" s="174">
        <v>0</v>
      </c>
      <c r="N291" s="174">
        <v>0</v>
      </c>
      <c r="O291" s="174">
        <v>0</v>
      </c>
      <c r="P291" s="174">
        <f t="shared" si="46"/>
        <v>0</v>
      </c>
      <c r="Q291" s="175">
        <v>0</v>
      </c>
      <c r="R291" s="175">
        <v>0</v>
      </c>
      <c r="S291" s="175">
        <v>0</v>
      </c>
      <c r="T291" s="175">
        <v>0</v>
      </c>
      <c r="U291" s="175">
        <f t="shared" si="47"/>
        <v>0</v>
      </c>
      <c r="V291" s="175">
        <f t="shared" si="48"/>
        <v>547375.79</v>
      </c>
      <c r="W291" s="174">
        <v>0</v>
      </c>
      <c r="X291" s="174">
        <f t="shared" si="49"/>
        <v>547375.79</v>
      </c>
      <c r="Y291" s="175">
        <v>0</v>
      </c>
      <c r="Z291" s="174">
        <f t="shared" si="50"/>
        <v>547375.79</v>
      </c>
    </row>
    <row r="292" spans="1:26" ht="12.75" hidden="1" outlineLevel="1">
      <c r="A292" s="174" t="s">
        <v>1125</v>
      </c>
      <c r="C292" s="175" t="s">
        <v>1126</v>
      </c>
      <c r="D292" s="175" t="s">
        <v>1127</v>
      </c>
      <c r="E292" s="174">
        <v>0</v>
      </c>
      <c r="F292" s="174">
        <v>98078.23</v>
      </c>
      <c r="G292" s="175">
        <f t="shared" si="44"/>
        <v>98078.23</v>
      </c>
      <c r="H292" s="174">
        <v>0</v>
      </c>
      <c r="I292" s="174">
        <v>0</v>
      </c>
      <c r="J292" s="174">
        <v>0</v>
      </c>
      <c r="K292" s="174">
        <v>0</v>
      </c>
      <c r="L292" s="174">
        <f t="shared" si="45"/>
        <v>0</v>
      </c>
      <c r="M292" s="174">
        <v>0</v>
      </c>
      <c r="N292" s="174">
        <v>0</v>
      </c>
      <c r="O292" s="174">
        <v>0</v>
      </c>
      <c r="P292" s="174">
        <f t="shared" si="46"/>
        <v>0</v>
      </c>
      <c r="Q292" s="175">
        <v>0</v>
      </c>
      <c r="R292" s="175">
        <v>0</v>
      </c>
      <c r="S292" s="175">
        <v>0</v>
      </c>
      <c r="T292" s="175">
        <v>0</v>
      </c>
      <c r="U292" s="175">
        <f t="shared" si="47"/>
        <v>0</v>
      </c>
      <c r="V292" s="175">
        <f t="shared" si="48"/>
        <v>98078.23</v>
      </c>
      <c r="W292" s="174">
        <v>0</v>
      </c>
      <c r="X292" s="174">
        <f t="shared" si="49"/>
        <v>98078.23</v>
      </c>
      <c r="Y292" s="175">
        <v>0</v>
      </c>
      <c r="Z292" s="174">
        <f t="shared" si="50"/>
        <v>98078.23</v>
      </c>
    </row>
    <row r="293" spans="1:26" ht="12.75" hidden="1" outlineLevel="1">
      <c r="A293" s="174" t="s">
        <v>1128</v>
      </c>
      <c r="C293" s="175" t="s">
        <v>1129</v>
      </c>
      <c r="D293" s="175" t="s">
        <v>1130</v>
      </c>
      <c r="E293" s="174">
        <v>0</v>
      </c>
      <c r="F293" s="174">
        <v>4035.09</v>
      </c>
      <c r="G293" s="175">
        <f t="shared" si="44"/>
        <v>4035.09</v>
      </c>
      <c r="H293" s="174">
        <v>0</v>
      </c>
      <c r="I293" s="174">
        <v>0</v>
      </c>
      <c r="J293" s="174">
        <v>0</v>
      </c>
      <c r="K293" s="174">
        <v>0</v>
      </c>
      <c r="L293" s="174">
        <f t="shared" si="45"/>
        <v>0</v>
      </c>
      <c r="M293" s="174">
        <v>0</v>
      </c>
      <c r="N293" s="174">
        <v>0</v>
      </c>
      <c r="O293" s="174">
        <v>0</v>
      </c>
      <c r="P293" s="174">
        <f t="shared" si="46"/>
        <v>0</v>
      </c>
      <c r="Q293" s="175">
        <v>543030.38</v>
      </c>
      <c r="R293" s="175">
        <v>6031464.15</v>
      </c>
      <c r="S293" s="175">
        <v>0</v>
      </c>
      <c r="T293" s="175">
        <v>0</v>
      </c>
      <c r="U293" s="175">
        <f t="shared" si="47"/>
        <v>6574494.53</v>
      </c>
      <c r="V293" s="175">
        <f t="shared" si="48"/>
        <v>6578529.62</v>
      </c>
      <c r="W293" s="174">
        <v>0</v>
      </c>
      <c r="X293" s="174">
        <f t="shared" si="49"/>
        <v>6578529.62</v>
      </c>
      <c r="Y293" s="175">
        <v>0</v>
      </c>
      <c r="Z293" s="174">
        <f t="shared" si="50"/>
        <v>6578529.62</v>
      </c>
    </row>
    <row r="294" spans="1:26" ht="12.75" hidden="1" outlineLevel="1">
      <c r="A294" s="174" t="s">
        <v>1131</v>
      </c>
      <c r="C294" s="175" t="s">
        <v>1132</v>
      </c>
      <c r="D294" s="175" t="s">
        <v>1133</v>
      </c>
      <c r="E294" s="174">
        <v>0</v>
      </c>
      <c r="F294" s="174">
        <v>22448.33</v>
      </c>
      <c r="G294" s="175">
        <f t="shared" si="44"/>
        <v>22448.33</v>
      </c>
      <c r="H294" s="174">
        <v>0</v>
      </c>
      <c r="I294" s="174">
        <v>0</v>
      </c>
      <c r="J294" s="174">
        <v>0</v>
      </c>
      <c r="K294" s="174">
        <v>0</v>
      </c>
      <c r="L294" s="174">
        <f t="shared" si="45"/>
        <v>0</v>
      </c>
      <c r="M294" s="174">
        <v>0</v>
      </c>
      <c r="N294" s="174">
        <v>0</v>
      </c>
      <c r="O294" s="174">
        <v>0</v>
      </c>
      <c r="P294" s="174">
        <f t="shared" si="46"/>
        <v>0</v>
      </c>
      <c r="Q294" s="175">
        <v>1116349.41</v>
      </c>
      <c r="R294" s="175">
        <v>9015.97</v>
      </c>
      <c r="S294" s="175">
        <v>0</v>
      </c>
      <c r="T294" s="175">
        <v>0</v>
      </c>
      <c r="U294" s="175">
        <f t="shared" si="47"/>
        <v>1125365.38</v>
      </c>
      <c r="V294" s="175">
        <f t="shared" si="48"/>
        <v>1147813.71</v>
      </c>
      <c r="W294" s="174">
        <v>0</v>
      </c>
      <c r="X294" s="174">
        <f t="shared" si="49"/>
        <v>1147813.71</v>
      </c>
      <c r="Y294" s="175">
        <v>0</v>
      </c>
      <c r="Z294" s="174">
        <f t="shared" si="50"/>
        <v>1147813.71</v>
      </c>
    </row>
    <row r="295" spans="1:26" ht="12.75" hidden="1" outlineLevel="1">
      <c r="A295" s="174" t="s">
        <v>1134</v>
      </c>
      <c r="C295" s="175" t="s">
        <v>1135</v>
      </c>
      <c r="D295" s="175" t="s">
        <v>1136</v>
      </c>
      <c r="E295" s="174">
        <v>0</v>
      </c>
      <c r="F295" s="174">
        <v>0</v>
      </c>
      <c r="G295" s="175">
        <f t="shared" si="44"/>
        <v>0</v>
      </c>
      <c r="H295" s="174">
        <v>9000</v>
      </c>
      <c r="I295" s="174">
        <v>0</v>
      </c>
      <c r="J295" s="174">
        <v>0</v>
      </c>
      <c r="K295" s="174">
        <v>0</v>
      </c>
      <c r="L295" s="174">
        <f t="shared" si="45"/>
        <v>0</v>
      </c>
      <c r="M295" s="174">
        <v>0</v>
      </c>
      <c r="N295" s="174">
        <v>0</v>
      </c>
      <c r="O295" s="174">
        <v>0</v>
      </c>
      <c r="P295" s="174">
        <f t="shared" si="46"/>
        <v>0</v>
      </c>
      <c r="Q295" s="175">
        <v>0</v>
      </c>
      <c r="R295" s="175">
        <v>30000</v>
      </c>
      <c r="S295" s="175">
        <v>0</v>
      </c>
      <c r="T295" s="175">
        <v>0</v>
      </c>
      <c r="U295" s="175">
        <f t="shared" si="47"/>
        <v>30000</v>
      </c>
      <c r="V295" s="175">
        <f t="shared" si="48"/>
        <v>39000</v>
      </c>
      <c r="W295" s="174">
        <v>0</v>
      </c>
      <c r="X295" s="174">
        <f t="shared" si="49"/>
        <v>39000</v>
      </c>
      <c r="Y295" s="175">
        <v>0</v>
      </c>
      <c r="Z295" s="174">
        <f t="shared" si="50"/>
        <v>39000</v>
      </c>
    </row>
    <row r="296" spans="1:27" ht="12.75" collapsed="1">
      <c r="A296" s="212" t="s">
        <v>1137</v>
      </c>
      <c r="B296" s="213"/>
      <c r="C296" s="212" t="s">
        <v>1138</v>
      </c>
      <c r="D296" s="214"/>
      <c r="E296" s="193">
        <v>0</v>
      </c>
      <c r="F296" s="193">
        <v>3227786.31</v>
      </c>
      <c r="G296" s="116">
        <f t="shared" si="44"/>
        <v>3227786.31</v>
      </c>
      <c r="H296" s="116">
        <v>4115145.41</v>
      </c>
      <c r="I296" s="116">
        <v>0</v>
      </c>
      <c r="J296" s="116">
        <v>0</v>
      </c>
      <c r="K296" s="116">
        <v>0</v>
      </c>
      <c r="L296" s="116">
        <f t="shared" si="45"/>
        <v>0</v>
      </c>
      <c r="M296" s="116">
        <v>0</v>
      </c>
      <c r="N296" s="116">
        <v>0</v>
      </c>
      <c r="O296" s="116">
        <v>0</v>
      </c>
      <c r="P296" s="116">
        <f t="shared" si="46"/>
        <v>0</v>
      </c>
      <c r="Q296" s="116">
        <v>3086421.9</v>
      </c>
      <c r="R296" s="116">
        <v>6364830.59</v>
      </c>
      <c r="S296" s="116">
        <v>0</v>
      </c>
      <c r="T296" s="116">
        <v>-16821225.490000002</v>
      </c>
      <c r="U296" s="116">
        <f t="shared" si="47"/>
        <v>-7369973.000000002</v>
      </c>
      <c r="V296" s="116">
        <f t="shared" si="48"/>
        <v>-27041.280000001192</v>
      </c>
      <c r="W296" s="116">
        <v>0</v>
      </c>
      <c r="X296" s="116">
        <f t="shared" si="49"/>
        <v>-27041.280000001192</v>
      </c>
      <c r="Y296" s="116">
        <v>0</v>
      </c>
      <c r="Z296" s="116">
        <f t="shared" si="50"/>
        <v>-27041.280000001192</v>
      </c>
      <c r="AA296" s="212"/>
    </row>
    <row r="297" spans="1:26" ht="12.75" hidden="1" outlineLevel="1">
      <c r="A297" s="174" t="s">
        <v>1139</v>
      </c>
      <c r="C297" s="175" t="s">
        <v>1140</v>
      </c>
      <c r="D297" s="175" t="s">
        <v>1141</v>
      </c>
      <c r="E297" s="174">
        <v>0</v>
      </c>
      <c r="F297" s="174">
        <v>0</v>
      </c>
      <c r="G297" s="175">
        <f t="shared" si="44"/>
        <v>0</v>
      </c>
      <c r="H297" s="174">
        <v>0</v>
      </c>
      <c r="I297" s="174">
        <v>0</v>
      </c>
      <c r="J297" s="174">
        <v>0</v>
      </c>
      <c r="K297" s="174">
        <v>0</v>
      </c>
      <c r="L297" s="174">
        <f t="shared" si="45"/>
        <v>0</v>
      </c>
      <c r="M297" s="174">
        <v>0</v>
      </c>
      <c r="N297" s="174">
        <v>0</v>
      </c>
      <c r="O297" s="174">
        <v>0</v>
      </c>
      <c r="P297" s="174">
        <f t="shared" si="46"/>
        <v>0</v>
      </c>
      <c r="Q297" s="175">
        <v>0</v>
      </c>
      <c r="R297" s="175">
        <v>0</v>
      </c>
      <c r="S297" s="175">
        <v>0</v>
      </c>
      <c r="T297" s="175">
        <v>4320425.49</v>
      </c>
      <c r="U297" s="175">
        <f t="shared" si="47"/>
        <v>4320425.49</v>
      </c>
      <c r="V297" s="175">
        <f t="shared" si="48"/>
        <v>4320425.49</v>
      </c>
      <c r="W297" s="174">
        <v>0</v>
      </c>
      <c r="X297" s="174">
        <f t="shared" si="49"/>
        <v>4320425.49</v>
      </c>
      <c r="Y297" s="175">
        <v>0</v>
      </c>
      <c r="Z297" s="174">
        <f t="shared" si="50"/>
        <v>4320425.49</v>
      </c>
    </row>
    <row r="298" spans="1:26" ht="12.75" hidden="1" outlineLevel="1">
      <c r="A298" s="174" t="s">
        <v>1142</v>
      </c>
      <c r="C298" s="175" t="s">
        <v>1143</v>
      </c>
      <c r="D298" s="175" t="s">
        <v>1144</v>
      </c>
      <c r="E298" s="174">
        <v>0</v>
      </c>
      <c r="F298" s="174">
        <v>0</v>
      </c>
      <c r="G298" s="175">
        <f t="shared" si="44"/>
        <v>0</v>
      </c>
      <c r="H298" s="174">
        <v>0</v>
      </c>
      <c r="I298" s="174">
        <v>0</v>
      </c>
      <c r="J298" s="174">
        <v>0</v>
      </c>
      <c r="K298" s="174">
        <v>0</v>
      </c>
      <c r="L298" s="174">
        <f t="shared" si="45"/>
        <v>0</v>
      </c>
      <c r="M298" s="174">
        <v>0</v>
      </c>
      <c r="N298" s="174">
        <v>0</v>
      </c>
      <c r="O298" s="174">
        <v>0</v>
      </c>
      <c r="P298" s="174">
        <f t="shared" si="46"/>
        <v>0</v>
      </c>
      <c r="Q298" s="175">
        <v>0</v>
      </c>
      <c r="R298" s="175">
        <v>0</v>
      </c>
      <c r="S298" s="175">
        <v>0</v>
      </c>
      <c r="T298" s="175">
        <v>2899306.31</v>
      </c>
      <c r="U298" s="175">
        <f t="shared" si="47"/>
        <v>2899306.31</v>
      </c>
      <c r="V298" s="175">
        <f t="shared" si="48"/>
        <v>2899306.31</v>
      </c>
      <c r="W298" s="174">
        <v>0</v>
      </c>
      <c r="X298" s="174">
        <f t="shared" si="49"/>
        <v>2899306.31</v>
      </c>
      <c r="Y298" s="175">
        <v>0</v>
      </c>
      <c r="Z298" s="174">
        <f t="shared" si="50"/>
        <v>2899306.31</v>
      </c>
    </row>
    <row r="299" spans="1:26" ht="12.75" hidden="1" outlineLevel="1">
      <c r="A299" s="174" t="s">
        <v>1145</v>
      </c>
      <c r="C299" s="175" t="s">
        <v>1146</v>
      </c>
      <c r="D299" s="175" t="s">
        <v>1147</v>
      </c>
      <c r="E299" s="174">
        <v>0</v>
      </c>
      <c r="F299" s="174">
        <v>0</v>
      </c>
      <c r="G299" s="175">
        <f t="shared" si="44"/>
        <v>0</v>
      </c>
      <c r="H299" s="174">
        <v>0</v>
      </c>
      <c r="I299" s="174">
        <v>0</v>
      </c>
      <c r="J299" s="174">
        <v>0</v>
      </c>
      <c r="K299" s="174">
        <v>0</v>
      </c>
      <c r="L299" s="174">
        <f t="shared" si="45"/>
        <v>0</v>
      </c>
      <c r="M299" s="174">
        <v>0</v>
      </c>
      <c r="N299" s="174">
        <v>0</v>
      </c>
      <c r="O299" s="174">
        <v>0</v>
      </c>
      <c r="P299" s="174">
        <f t="shared" si="46"/>
        <v>0</v>
      </c>
      <c r="Q299" s="175">
        <v>0</v>
      </c>
      <c r="R299" s="175">
        <v>0</v>
      </c>
      <c r="S299" s="175">
        <v>0</v>
      </c>
      <c r="T299" s="175">
        <v>340351.09</v>
      </c>
      <c r="U299" s="175">
        <f t="shared" si="47"/>
        <v>340351.09</v>
      </c>
      <c r="V299" s="175">
        <f t="shared" si="48"/>
        <v>340351.09</v>
      </c>
      <c r="W299" s="174">
        <v>0</v>
      </c>
      <c r="X299" s="174">
        <f t="shared" si="49"/>
        <v>340351.09</v>
      </c>
      <c r="Y299" s="175">
        <v>0</v>
      </c>
      <c r="Z299" s="174">
        <f t="shared" si="50"/>
        <v>340351.09</v>
      </c>
    </row>
    <row r="300" spans="1:26" ht="12.75" hidden="1" outlineLevel="1">
      <c r="A300" s="174" t="s">
        <v>1148</v>
      </c>
      <c r="C300" s="175" t="s">
        <v>1149</v>
      </c>
      <c r="D300" s="175" t="s">
        <v>1150</v>
      </c>
      <c r="E300" s="174">
        <v>0</v>
      </c>
      <c r="F300" s="174">
        <v>0</v>
      </c>
      <c r="G300" s="175">
        <f t="shared" si="44"/>
        <v>0</v>
      </c>
      <c r="H300" s="174">
        <v>0</v>
      </c>
      <c r="I300" s="174">
        <v>0</v>
      </c>
      <c r="J300" s="174">
        <v>0</v>
      </c>
      <c r="K300" s="174">
        <v>0</v>
      </c>
      <c r="L300" s="174">
        <f t="shared" si="45"/>
        <v>0</v>
      </c>
      <c r="M300" s="174">
        <v>0</v>
      </c>
      <c r="N300" s="174">
        <v>0</v>
      </c>
      <c r="O300" s="174">
        <v>0</v>
      </c>
      <c r="P300" s="174">
        <f t="shared" si="46"/>
        <v>0</v>
      </c>
      <c r="Q300" s="175">
        <v>0</v>
      </c>
      <c r="R300" s="175">
        <v>0</v>
      </c>
      <c r="S300" s="175">
        <v>0</v>
      </c>
      <c r="T300" s="175">
        <v>655099.04</v>
      </c>
      <c r="U300" s="175">
        <f t="shared" si="47"/>
        <v>655099.04</v>
      </c>
      <c r="V300" s="175">
        <f t="shared" si="48"/>
        <v>655099.04</v>
      </c>
      <c r="W300" s="174">
        <v>0</v>
      </c>
      <c r="X300" s="174">
        <f t="shared" si="49"/>
        <v>655099.04</v>
      </c>
      <c r="Y300" s="175">
        <v>0</v>
      </c>
      <c r="Z300" s="174">
        <f t="shared" si="50"/>
        <v>655099.04</v>
      </c>
    </row>
    <row r="301" spans="1:27" ht="12.75" collapsed="1">
      <c r="A301" s="212" t="s">
        <v>1151</v>
      </c>
      <c r="B301" s="213"/>
      <c r="C301" s="212" t="s">
        <v>1152</v>
      </c>
      <c r="D301" s="214"/>
      <c r="E301" s="193">
        <v>0</v>
      </c>
      <c r="F301" s="193">
        <v>0</v>
      </c>
      <c r="G301" s="116">
        <f t="shared" si="44"/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f t="shared" si="45"/>
        <v>0</v>
      </c>
      <c r="M301" s="116">
        <v>0</v>
      </c>
      <c r="N301" s="116">
        <v>0</v>
      </c>
      <c r="O301" s="116">
        <v>0</v>
      </c>
      <c r="P301" s="116">
        <f t="shared" si="46"/>
        <v>0</v>
      </c>
      <c r="Q301" s="116">
        <v>0</v>
      </c>
      <c r="R301" s="116">
        <v>0</v>
      </c>
      <c r="S301" s="116">
        <v>0</v>
      </c>
      <c r="T301" s="116">
        <v>8215181.930000001</v>
      </c>
      <c r="U301" s="116">
        <f t="shared" si="47"/>
        <v>8215181.930000001</v>
      </c>
      <c r="V301" s="116">
        <f t="shared" si="48"/>
        <v>8215181.930000001</v>
      </c>
      <c r="W301" s="116">
        <v>0</v>
      </c>
      <c r="X301" s="116">
        <f t="shared" si="49"/>
        <v>8215181.930000001</v>
      </c>
      <c r="Y301" s="116">
        <v>0</v>
      </c>
      <c r="Z301" s="116">
        <f t="shared" si="50"/>
        <v>8215181.930000001</v>
      </c>
      <c r="AA301" s="212"/>
    </row>
    <row r="302" spans="1:27" ht="15.75">
      <c r="A302" s="216"/>
      <c r="B302" s="217"/>
      <c r="C302" s="211" t="s">
        <v>1153</v>
      </c>
      <c r="D302" s="65"/>
      <c r="E302" s="155">
        <f aca="true" t="shared" si="51" ref="E302:Z302">E75+E91+E270+E272+E301+E296</f>
        <v>-4286.3240000000005</v>
      </c>
      <c r="F302" s="155">
        <f t="shared" si="51"/>
        <v>102572053.088</v>
      </c>
      <c r="G302" s="117">
        <f t="shared" si="51"/>
        <v>102567766.764</v>
      </c>
      <c r="H302" s="117">
        <f t="shared" si="51"/>
        <v>32522869.500000004</v>
      </c>
      <c r="I302" s="117">
        <f t="shared" si="51"/>
        <v>0</v>
      </c>
      <c r="J302" s="117">
        <f t="shared" si="51"/>
        <v>0</v>
      </c>
      <c r="K302" s="117">
        <f t="shared" si="51"/>
        <v>52610.18</v>
      </c>
      <c r="L302" s="117">
        <f t="shared" si="51"/>
        <v>52610.18</v>
      </c>
      <c r="M302" s="117">
        <f t="shared" si="51"/>
        <v>0</v>
      </c>
      <c r="N302" s="117">
        <f t="shared" si="51"/>
        <v>2964.91</v>
      </c>
      <c r="O302" s="117">
        <f t="shared" si="51"/>
        <v>6469.77</v>
      </c>
      <c r="P302" s="117">
        <f t="shared" si="51"/>
        <v>9434.68</v>
      </c>
      <c r="Q302" s="117">
        <f t="shared" si="51"/>
        <v>3121880.31</v>
      </c>
      <c r="R302" s="117">
        <f t="shared" si="51"/>
        <v>5837137.9399999995</v>
      </c>
      <c r="S302" s="117">
        <f t="shared" si="51"/>
        <v>0</v>
      </c>
      <c r="T302" s="117">
        <f t="shared" si="51"/>
        <v>-7588355.680000002</v>
      </c>
      <c r="U302" s="117">
        <f t="shared" si="51"/>
        <v>1370662.5699999984</v>
      </c>
      <c r="V302" s="117">
        <f t="shared" si="51"/>
        <v>136523343.694</v>
      </c>
      <c r="W302" s="117">
        <f t="shared" si="51"/>
        <v>0</v>
      </c>
      <c r="X302" s="117">
        <f t="shared" si="51"/>
        <v>136523343.694</v>
      </c>
      <c r="Y302" s="117">
        <f t="shared" si="51"/>
        <v>12576268.16</v>
      </c>
      <c r="Z302" s="117">
        <f t="shared" si="51"/>
        <v>149099611.854</v>
      </c>
      <c r="AA302" s="210"/>
    </row>
    <row r="303" spans="2:26" ht="12.75">
      <c r="B303" s="217"/>
      <c r="C303" s="218"/>
      <c r="D303" s="74"/>
      <c r="E303" s="193"/>
      <c r="F303" s="193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7" ht="15.75">
      <c r="A304" s="216"/>
      <c r="B304" s="217" t="s">
        <v>2892</v>
      </c>
      <c r="C304" s="218"/>
      <c r="D304" s="74"/>
      <c r="E304" s="155">
        <f aca="true" t="shared" si="52" ref="E304:Z304">E59-E302</f>
        <v>4286.3240000000005</v>
      </c>
      <c r="F304" s="155">
        <f t="shared" si="52"/>
        <v>-42773873.907999985</v>
      </c>
      <c r="G304" s="117">
        <f t="shared" si="52"/>
        <v>-42769587.583999984</v>
      </c>
      <c r="H304" s="117">
        <f t="shared" si="52"/>
        <v>-7967640.310000006</v>
      </c>
      <c r="I304" s="117">
        <f t="shared" si="52"/>
        <v>-2460.18</v>
      </c>
      <c r="J304" s="117">
        <f t="shared" si="52"/>
        <v>0</v>
      </c>
      <c r="K304" s="117">
        <f t="shared" si="52"/>
        <v>-595216.8500000001</v>
      </c>
      <c r="L304" s="117">
        <f t="shared" si="52"/>
        <v>-597677.0300000001</v>
      </c>
      <c r="M304" s="117">
        <f t="shared" si="52"/>
        <v>0</v>
      </c>
      <c r="N304" s="117">
        <f t="shared" si="52"/>
        <v>-2964.91</v>
      </c>
      <c r="O304" s="117">
        <f t="shared" si="52"/>
        <v>-6469.77</v>
      </c>
      <c r="P304" s="117">
        <f t="shared" si="52"/>
        <v>-9434.68</v>
      </c>
      <c r="Q304" s="117">
        <f t="shared" si="52"/>
        <v>-3121880.31</v>
      </c>
      <c r="R304" s="117">
        <f t="shared" si="52"/>
        <v>-5837137.9399999995</v>
      </c>
      <c r="S304" s="117">
        <f t="shared" si="52"/>
        <v>0</v>
      </c>
      <c r="T304" s="117">
        <f t="shared" si="52"/>
        <v>7588355.680000002</v>
      </c>
      <c r="U304" s="117">
        <f t="shared" si="52"/>
        <v>-1370662.5699999984</v>
      </c>
      <c r="V304" s="117">
        <f t="shared" si="52"/>
        <v>-52715002.17400001</v>
      </c>
      <c r="W304" s="117">
        <f t="shared" si="52"/>
        <v>0</v>
      </c>
      <c r="X304" s="117">
        <f t="shared" si="52"/>
        <v>-52715002.17400001</v>
      </c>
      <c r="Y304" s="117">
        <f t="shared" si="52"/>
        <v>-2076066.92</v>
      </c>
      <c r="Z304" s="117">
        <f t="shared" si="52"/>
        <v>-54791069.09399998</v>
      </c>
      <c r="AA304" s="210"/>
    </row>
    <row r="305" spans="2:26" ht="12.75">
      <c r="B305" s="213"/>
      <c r="C305" s="212"/>
      <c r="D305" s="214"/>
      <c r="E305" s="193"/>
      <c r="F305" s="193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7" ht="12.75">
      <c r="A306" s="212" t="s">
        <v>2792</v>
      </c>
      <c r="B306" s="213"/>
      <c r="C306" s="212" t="s">
        <v>2841</v>
      </c>
      <c r="D306" s="214"/>
      <c r="E306" s="193">
        <v>0</v>
      </c>
      <c r="F306" s="193">
        <v>45130412</v>
      </c>
      <c r="G306" s="116">
        <f>E306+F306</f>
        <v>45130412</v>
      </c>
      <c r="H306" s="116">
        <v>0</v>
      </c>
      <c r="I306" s="116">
        <v>0</v>
      </c>
      <c r="J306" s="116">
        <v>0</v>
      </c>
      <c r="K306" s="116">
        <v>0</v>
      </c>
      <c r="L306" s="116">
        <f>J306+I306+K306</f>
        <v>0</v>
      </c>
      <c r="M306" s="116">
        <v>0</v>
      </c>
      <c r="N306" s="116">
        <v>0</v>
      </c>
      <c r="O306" s="116">
        <v>0</v>
      </c>
      <c r="P306" s="116">
        <f>M306+N306+O306</f>
        <v>0</v>
      </c>
      <c r="Q306" s="116">
        <v>0</v>
      </c>
      <c r="R306" s="116">
        <v>0</v>
      </c>
      <c r="S306" s="116">
        <v>0</v>
      </c>
      <c r="T306" s="116">
        <v>0</v>
      </c>
      <c r="U306" s="116">
        <f>Q306+R306+S306+T306</f>
        <v>0</v>
      </c>
      <c r="V306" s="116">
        <f>G306+H306+L306+P306+U306</f>
        <v>45130412</v>
      </c>
      <c r="W306" s="116">
        <v>0</v>
      </c>
      <c r="X306" s="116">
        <f>V306+W306</f>
        <v>45130412</v>
      </c>
      <c r="Y306" s="116">
        <v>0</v>
      </c>
      <c r="Z306" s="116">
        <f>X306+Y306</f>
        <v>45130412</v>
      </c>
      <c r="AA306" s="212"/>
    </row>
    <row r="307" spans="2:26" ht="12.75">
      <c r="B307" s="213"/>
      <c r="C307" s="212"/>
      <c r="D307" s="214"/>
      <c r="E307" s="193"/>
      <c r="F307" s="193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7" ht="15">
      <c r="A308" s="210"/>
      <c r="B308" s="217" t="s">
        <v>2218</v>
      </c>
      <c r="C308" s="218"/>
      <c r="D308" s="214"/>
      <c r="E308" s="193"/>
      <c r="F308" s="193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210"/>
    </row>
    <row r="309" spans="1:27" ht="15.75">
      <c r="A309" s="216"/>
      <c r="B309" s="217" t="s">
        <v>2219</v>
      </c>
      <c r="C309" s="218"/>
      <c r="D309" s="74"/>
      <c r="E309" s="155">
        <f aca="true" t="shared" si="53" ref="E309:Z309">E304+E306</f>
        <v>4286.3240000000005</v>
      </c>
      <c r="F309" s="155">
        <f t="shared" si="53"/>
        <v>2356538.092000015</v>
      </c>
      <c r="G309" s="117">
        <f t="shared" si="53"/>
        <v>2360824.416000016</v>
      </c>
      <c r="H309" s="117">
        <f t="shared" si="53"/>
        <v>-7967640.310000006</v>
      </c>
      <c r="I309" s="117">
        <f t="shared" si="53"/>
        <v>-2460.18</v>
      </c>
      <c r="J309" s="117">
        <f t="shared" si="53"/>
        <v>0</v>
      </c>
      <c r="K309" s="117">
        <f t="shared" si="53"/>
        <v>-595216.8500000001</v>
      </c>
      <c r="L309" s="117">
        <f t="shared" si="53"/>
        <v>-597677.0300000001</v>
      </c>
      <c r="M309" s="117">
        <f t="shared" si="53"/>
        <v>0</v>
      </c>
      <c r="N309" s="117">
        <f t="shared" si="53"/>
        <v>-2964.91</v>
      </c>
      <c r="O309" s="117">
        <f t="shared" si="53"/>
        <v>-6469.77</v>
      </c>
      <c r="P309" s="117">
        <f t="shared" si="53"/>
        <v>-9434.68</v>
      </c>
      <c r="Q309" s="117">
        <f t="shared" si="53"/>
        <v>-3121880.31</v>
      </c>
      <c r="R309" s="117">
        <f t="shared" si="53"/>
        <v>-5837137.9399999995</v>
      </c>
      <c r="S309" s="117">
        <f t="shared" si="53"/>
        <v>0</v>
      </c>
      <c r="T309" s="117">
        <f t="shared" si="53"/>
        <v>7588355.680000002</v>
      </c>
      <c r="U309" s="117">
        <f t="shared" si="53"/>
        <v>-1370662.5699999984</v>
      </c>
      <c r="V309" s="117">
        <f t="shared" si="53"/>
        <v>-7584590.17400001</v>
      </c>
      <c r="W309" s="117">
        <f t="shared" si="53"/>
        <v>0</v>
      </c>
      <c r="X309" s="117">
        <f t="shared" si="53"/>
        <v>-7584590.17400001</v>
      </c>
      <c r="Y309" s="117">
        <f t="shared" si="53"/>
        <v>-2076066.92</v>
      </c>
      <c r="Z309" s="117">
        <f t="shared" si="53"/>
        <v>-9660657.093999982</v>
      </c>
      <c r="AA309" s="210"/>
    </row>
    <row r="310" spans="2:26" ht="12.75">
      <c r="B310" s="213"/>
      <c r="C310" s="212"/>
      <c r="D310" s="214"/>
      <c r="E310" s="193"/>
      <c r="F310" s="193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7" ht="15">
      <c r="A311" s="210"/>
      <c r="B311" s="217" t="s">
        <v>2842</v>
      </c>
      <c r="C311" s="218"/>
      <c r="D311" s="74"/>
      <c r="E311" s="193"/>
      <c r="F311" s="193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210"/>
    </row>
    <row r="312" spans="1:27" ht="12.75">
      <c r="A312" s="212" t="s">
        <v>1154</v>
      </c>
      <c r="B312" s="213"/>
      <c r="C312" s="212" t="s">
        <v>2843</v>
      </c>
      <c r="D312" s="214"/>
      <c r="E312" s="193">
        <v>0</v>
      </c>
      <c r="F312" s="193">
        <v>0</v>
      </c>
      <c r="G312" s="116">
        <f aca="true" t="shared" si="54" ref="G312:G336">E312+F312</f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f aca="true" t="shared" si="55" ref="L312:L336">J312+I312+K312</f>
        <v>0</v>
      </c>
      <c r="M312" s="116">
        <v>0</v>
      </c>
      <c r="N312" s="116">
        <v>0</v>
      </c>
      <c r="O312" s="116">
        <v>0</v>
      </c>
      <c r="P312" s="116">
        <f aca="true" t="shared" si="56" ref="P312:P336">M312+N312+O312</f>
        <v>0</v>
      </c>
      <c r="Q312" s="116">
        <v>0</v>
      </c>
      <c r="R312" s="116">
        <v>0</v>
      </c>
      <c r="S312" s="116">
        <v>0</v>
      </c>
      <c r="T312" s="116">
        <v>0</v>
      </c>
      <c r="U312" s="116">
        <f aca="true" t="shared" si="57" ref="U312:U336">Q312+R312+S312+T312</f>
        <v>0</v>
      </c>
      <c r="V312" s="116">
        <f aca="true" t="shared" si="58" ref="V312:V336">G312+H312+L312+P312+U312</f>
        <v>0</v>
      </c>
      <c r="W312" s="116">
        <v>0</v>
      </c>
      <c r="X312" s="116">
        <f aca="true" t="shared" si="59" ref="X312:X336">V312+W312</f>
        <v>0</v>
      </c>
      <c r="Y312" s="116">
        <v>0</v>
      </c>
      <c r="Z312" s="116">
        <f aca="true" t="shared" si="60" ref="Z312:Z336">X312+Y312</f>
        <v>0</v>
      </c>
      <c r="AA312" s="212"/>
    </row>
    <row r="313" spans="1:26" ht="12.75" hidden="1" outlineLevel="1">
      <c r="A313" s="174" t="s">
        <v>1155</v>
      </c>
      <c r="C313" s="175" t="s">
        <v>1156</v>
      </c>
      <c r="D313" s="175" t="s">
        <v>1157</v>
      </c>
      <c r="E313" s="174">
        <v>0</v>
      </c>
      <c r="F313" s="174">
        <v>0</v>
      </c>
      <c r="G313" s="175">
        <f t="shared" si="54"/>
        <v>0</v>
      </c>
      <c r="H313" s="174">
        <v>25.67</v>
      </c>
      <c r="I313" s="174">
        <v>0</v>
      </c>
      <c r="J313" s="174">
        <v>0</v>
      </c>
      <c r="K313" s="174">
        <v>0</v>
      </c>
      <c r="L313" s="174">
        <f t="shared" si="55"/>
        <v>0</v>
      </c>
      <c r="M313" s="174">
        <v>342.6</v>
      </c>
      <c r="N313" s="174">
        <v>1491045.11</v>
      </c>
      <c r="O313" s="174">
        <v>348853.02</v>
      </c>
      <c r="P313" s="174">
        <f t="shared" si="56"/>
        <v>1840240.7300000002</v>
      </c>
      <c r="Q313" s="175">
        <v>0</v>
      </c>
      <c r="R313" s="175">
        <v>0</v>
      </c>
      <c r="S313" s="175">
        <v>0</v>
      </c>
      <c r="T313" s="175">
        <v>0</v>
      </c>
      <c r="U313" s="175">
        <f t="shared" si="57"/>
        <v>0</v>
      </c>
      <c r="V313" s="175">
        <f t="shared" si="58"/>
        <v>1840266.4000000001</v>
      </c>
      <c r="W313" s="174">
        <v>0</v>
      </c>
      <c r="X313" s="174">
        <f t="shared" si="59"/>
        <v>1840266.4000000001</v>
      </c>
      <c r="Y313" s="175">
        <v>1910.27</v>
      </c>
      <c r="Z313" s="174">
        <f t="shared" si="60"/>
        <v>1842176.6700000002</v>
      </c>
    </row>
    <row r="314" spans="1:26" ht="12.75" hidden="1" outlineLevel="1">
      <c r="A314" s="174" t="s">
        <v>1158</v>
      </c>
      <c r="C314" s="175" t="s">
        <v>1159</v>
      </c>
      <c r="D314" s="175" t="s">
        <v>1160</v>
      </c>
      <c r="E314" s="174">
        <v>0</v>
      </c>
      <c r="F314" s="174">
        <v>0</v>
      </c>
      <c r="G314" s="175">
        <f t="shared" si="54"/>
        <v>0</v>
      </c>
      <c r="H314" s="174">
        <v>75328.5</v>
      </c>
      <c r="I314" s="174">
        <v>0</v>
      </c>
      <c r="J314" s="174">
        <v>0</v>
      </c>
      <c r="K314" s="174">
        <v>653.89</v>
      </c>
      <c r="L314" s="174">
        <f t="shared" si="55"/>
        <v>653.89</v>
      </c>
      <c r="M314" s="174">
        <v>0</v>
      </c>
      <c r="N314" s="174">
        <v>7254.03</v>
      </c>
      <c r="O314" s="174">
        <v>2252.32</v>
      </c>
      <c r="P314" s="174">
        <f t="shared" si="56"/>
        <v>9506.35</v>
      </c>
      <c r="Q314" s="175">
        <v>0</v>
      </c>
      <c r="R314" s="175">
        <v>0</v>
      </c>
      <c r="S314" s="175">
        <v>0</v>
      </c>
      <c r="T314" s="175">
        <v>0</v>
      </c>
      <c r="U314" s="175">
        <f t="shared" si="57"/>
        <v>0</v>
      </c>
      <c r="V314" s="175">
        <f t="shared" si="58"/>
        <v>85488.74</v>
      </c>
      <c r="W314" s="174">
        <v>0</v>
      </c>
      <c r="X314" s="174">
        <f t="shared" si="59"/>
        <v>85488.74</v>
      </c>
      <c r="Y314" s="175">
        <v>0</v>
      </c>
      <c r="Z314" s="174">
        <f t="shared" si="60"/>
        <v>85488.74</v>
      </c>
    </row>
    <row r="315" spans="1:26" ht="12.75" hidden="1" outlineLevel="1">
      <c r="A315" s="174" t="s">
        <v>1161</v>
      </c>
      <c r="C315" s="175" t="s">
        <v>1162</v>
      </c>
      <c r="D315" s="175" t="s">
        <v>1163</v>
      </c>
      <c r="E315" s="174">
        <v>0</v>
      </c>
      <c r="F315" s="174">
        <v>0</v>
      </c>
      <c r="G315" s="175">
        <f t="shared" si="54"/>
        <v>0</v>
      </c>
      <c r="H315" s="174">
        <v>2775736.48</v>
      </c>
      <c r="I315" s="174">
        <v>0</v>
      </c>
      <c r="J315" s="174">
        <v>0</v>
      </c>
      <c r="K315" s="174">
        <v>125378.07</v>
      </c>
      <c r="L315" s="174">
        <f t="shared" si="55"/>
        <v>125378.07</v>
      </c>
      <c r="M315" s="174">
        <v>0</v>
      </c>
      <c r="N315" s="174">
        <v>-2274212.49</v>
      </c>
      <c r="O315" s="174">
        <v>-632044.86</v>
      </c>
      <c r="P315" s="174">
        <f t="shared" si="56"/>
        <v>-2906257.35</v>
      </c>
      <c r="Q315" s="175">
        <v>0</v>
      </c>
      <c r="R315" s="175">
        <v>0</v>
      </c>
      <c r="S315" s="175">
        <v>0</v>
      </c>
      <c r="T315" s="175">
        <v>0</v>
      </c>
      <c r="U315" s="175">
        <f t="shared" si="57"/>
        <v>0</v>
      </c>
      <c r="V315" s="175">
        <f t="shared" si="58"/>
        <v>-5142.800000000279</v>
      </c>
      <c r="W315" s="174">
        <v>0</v>
      </c>
      <c r="X315" s="174">
        <f t="shared" si="59"/>
        <v>-5142.800000000279</v>
      </c>
      <c r="Y315" s="175">
        <v>0</v>
      </c>
      <c r="Z315" s="174">
        <f t="shared" si="60"/>
        <v>-5142.800000000279</v>
      </c>
    </row>
    <row r="316" spans="1:26" ht="12.75" hidden="1" outlineLevel="1">
      <c r="A316" s="174" t="s">
        <v>1164</v>
      </c>
      <c r="C316" s="175" t="s">
        <v>1165</v>
      </c>
      <c r="D316" s="175" t="s">
        <v>1166</v>
      </c>
      <c r="E316" s="174">
        <v>0</v>
      </c>
      <c r="F316" s="174">
        <v>0</v>
      </c>
      <c r="G316" s="175">
        <f t="shared" si="54"/>
        <v>0</v>
      </c>
      <c r="H316" s="174">
        <v>469941.98</v>
      </c>
      <c r="I316" s="174">
        <v>0</v>
      </c>
      <c r="J316" s="174">
        <v>0</v>
      </c>
      <c r="K316" s="174">
        <v>0</v>
      </c>
      <c r="L316" s="174">
        <f t="shared" si="55"/>
        <v>0</v>
      </c>
      <c r="M316" s="174">
        <v>0</v>
      </c>
      <c r="N316" s="174">
        <v>0</v>
      </c>
      <c r="O316" s="174">
        <v>0</v>
      </c>
      <c r="P316" s="174">
        <f t="shared" si="56"/>
        <v>0</v>
      </c>
      <c r="Q316" s="175">
        <v>0</v>
      </c>
      <c r="R316" s="175">
        <v>0</v>
      </c>
      <c r="S316" s="175">
        <v>0</v>
      </c>
      <c r="T316" s="175">
        <v>0</v>
      </c>
      <c r="U316" s="175">
        <f t="shared" si="57"/>
        <v>0</v>
      </c>
      <c r="V316" s="175">
        <f t="shared" si="58"/>
        <v>469941.98</v>
      </c>
      <c r="W316" s="174">
        <v>0</v>
      </c>
      <c r="X316" s="174">
        <f t="shared" si="59"/>
        <v>469941.98</v>
      </c>
      <c r="Y316" s="175">
        <v>0</v>
      </c>
      <c r="Z316" s="174">
        <f t="shared" si="60"/>
        <v>469941.98</v>
      </c>
    </row>
    <row r="317" spans="1:26" ht="12.75" hidden="1" outlineLevel="1">
      <c r="A317" s="174" t="s">
        <v>1167</v>
      </c>
      <c r="C317" s="175" t="s">
        <v>1168</v>
      </c>
      <c r="D317" s="175" t="s">
        <v>1169</v>
      </c>
      <c r="E317" s="174">
        <v>0</v>
      </c>
      <c r="F317" s="174">
        <v>15622.28</v>
      </c>
      <c r="G317" s="175">
        <f t="shared" si="54"/>
        <v>15622.28</v>
      </c>
      <c r="H317" s="174">
        <v>18494.79</v>
      </c>
      <c r="I317" s="174">
        <v>0</v>
      </c>
      <c r="J317" s="174">
        <v>0</v>
      </c>
      <c r="K317" s="174">
        <v>14080</v>
      </c>
      <c r="L317" s="174">
        <f t="shared" si="55"/>
        <v>14080</v>
      </c>
      <c r="M317" s="174">
        <v>0</v>
      </c>
      <c r="N317" s="174">
        <v>33020.58</v>
      </c>
      <c r="O317" s="174">
        <v>27089.48</v>
      </c>
      <c r="P317" s="174">
        <f t="shared" si="56"/>
        <v>60110.06</v>
      </c>
      <c r="Q317" s="175">
        <v>0</v>
      </c>
      <c r="R317" s="175">
        <v>0</v>
      </c>
      <c r="S317" s="175">
        <v>0</v>
      </c>
      <c r="T317" s="175">
        <v>0</v>
      </c>
      <c r="U317" s="175">
        <f t="shared" si="57"/>
        <v>0</v>
      </c>
      <c r="V317" s="175">
        <f t="shared" si="58"/>
        <v>108307.13</v>
      </c>
      <c r="W317" s="174">
        <v>0</v>
      </c>
      <c r="X317" s="174">
        <f t="shared" si="59"/>
        <v>108307.13</v>
      </c>
      <c r="Y317" s="175">
        <v>3127.49</v>
      </c>
      <c r="Z317" s="174">
        <f t="shared" si="60"/>
        <v>111434.62000000001</v>
      </c>
    </row>
    <row r="318" spans="1:26" ht="12.75" hidden="1" outlineLevel="1">
      <c r="A318" s="174" t="s">
        <v>1170</v>
      </c>
      <c r="C318" s="175" t="s">
        <v>1171</v>
      </c>
      <c r="D318" s="175" t="s">
        <v>1172</v>
      </c>
      <c r="E318" s="174">
        <v>-987.74</v>
      </c>
      <c r="F318" s="174">
        <v>0</v>
      </c>
      <c r="G318" s="175">
        <f t="shared" si="54"/>
        <v>-987.74</v>
      </c>
      <c r="H318" s="174">
        <v>0</v>
      </c>
      <c r="I318" s="174">
        <v>0</v>
      </c>
      <c r="J318" s="174">
        <v>0</v>
      </c>
      <c r="K318" s="174">
        <v>0</v>
      </c>
      <c r="L318" s="174">
        <f t="shared" si="55"/>
        <v>0</v>
      </c>
      <c r="M318" s="174">
        <v>0</v>
      </c>
      <c r="N318" s="174">
        <v>0</v>
      </c>
      <c r="O318" s="174">
        <v>0</v>
      </c>
      <c r="P318" s="174">
        <f t="shared" si="56"/>
        <v>0</v>
      </c>
      <c r="Q318" s="175">
        <v>0</v>
      </c>
      <c r="R318" s="175">
        <v>0</v>
      </c>
      <c r="S318" s="175">
        <v>0</v>
      </c>
      <c r="T318" s="175">
        <v>0</v>
      </c>
      <c r="U318" s="175">
        <f t="shared" si="57"/>
        <v>0</v>
      </c>
      <c r="V318" s="175">
        <f t="shared" si="58"/>
        <v>-987.74</v>
      </c>
      <c r="W318" s="174">
        <v>0</v>
      </c>
      <c r="X318" s="174">
        <f t="shared" si="59"/>
        <v>-987.74</v>
      </c>
      <c r="Y318" s="175">
        <v>-3.84</v>
      </c>
      <c r="Z318" s="174">
        <f t="shared" si="60"/>
        <v>-991.58</v>
      </c>
    </row>
    <row r="319" spans="1:26" ht="12.75" hidden="1" outlineLevel="1">
      <c r="A319" s="174" t="s">
        <v>1173</v>
      </c>
      <c r="C319" s="175" t="s">
        <v>1174</v>
      </c>
      <c r="D319" s="175" t="s">
        <v>1175</v>
      </c>
      <c r="E319" s="174">
        <v>0</v>
      </c>
      <c r="F319" s="174">
        <v>0</v>
      </c>
      <c r="G319" s="175">
        <f t="shared" si="54"/>
        <v>0</v>
      </c>
      <c r="H319" s="174">
        <v>0</v>
      </c>
      <c r="I319" s="174">
        <v>0</v>
      </c>
      <c r="J319" s="174">
        <v>0</v>
      </c>
      <c r="K319" s="174">
        <v>0</v>
      </c>
      <c r="L319" s="174">
        <f t="shared" si="55"/>
        <v>0</v>
      </c>
      <c r="M319" s="174">
        <v>0</v>
      </c>
      <c r="N319" s="174">
        <v>0</v>
      </c>
      <c r="O319" s="174">
        <v>8252.64</v>
      </c>
      <c r="P319" s="174">
        <f t="shared" si="56"/>
        <v>8252.64</v>
      </c>
      <c r="Q319" s="175">
        <v>0</v>
      </c>
      <c r="R319" s="175">
        <v>0</v>
      </c>
      <c r="S319" s="175">
        <v>0</v>
      </c>
      <c r="T319" s="175">
        <v>0</v>
      </c>
      <c r="U319" s="175">
        <f t="shared" si="57"/>
        <v>0</v>
      </c>
      <c r="V319" s="175">
        <f t="shared" si="58"/>
        <v>8252.64</v>
      </c>
      <c r="W319" s="174">
        <v>0</v>
      </c>
      <c r="X319" s="174">
        <f t="shared" si="59"/>
        <v>8252.64</v>
      </c>
      <c r="Y319" s="175">
        <v>0</v>
      </c>
      <c r="Z319" s="174">
        <f t="shared" si="60"/>
        <v>8252.64</v>
      </c>
    </row>
    <row r="320" spans="1:26" ht="12.75" hidden="1" outlineLevel="1">
      <c r="A320" s="174" t="s">
        <v>1176</v>
      </c>
      <c r="C320" s="175" t="s">
        <v>1177</v>
      </c>
      <c r="D320" s="175" t="s">
        <v>1178</v>
      </c>
      <c r="E320" s="174">
        <v>0</v>
      </c>
      <c r="F320" s="174">
        <v>0</v>
      </c>
      <c r="G320" s="175">
        <f t="shared" si="54"/>
        <v>0</v>
      </c>
      <c r="H320" s="174">
        <v>14921.71</v>
      </c>
      <c r="I320" s="174">
        <v>0</v>
      </c>
      <c r="J320" s="174">
        <v>0</v>
      </c>
      <c r="K320" s="174">
        <v>0</v>
      </c>
      <c r="L320" s="174">
        <f t="shared" si="55"/>
        <v>0</v>
      </c>
      <c r="M320" s="174">
        <v>0</v>
      </c>
      <c r="N320" s="174">
        <v>0</v>
      </c>
      <c r="O320" s="174">
        <v>0</v>
      </c>
      <c r="P320" s="174">
        <f t="shared" si="56"/>
        <v>0</v>
      </c>
      <c r="Q320" s="175">
        <v>0</v>
      </c>
      <c r="R320" s="175">
        <v>0</v>
      </c>
      <c r="S320" s="175">
        <v>0</v>
      </c>
      <c r="T320" s="175">
        <v>0</v>
      </c>
      <c r="U320" s="175">
        <f t="shared" si="57"/>
        <v>0</v>
      </c>
      <c r="V320" s="175">
        <f t="shared" si="58"/>
        <v>14921.71</v>
      </c>
      <c r="W320" s="174">
        <v>0</v>
      </c>
      <c r="X320" s="174">
        <f t="shared" si="59"/>
        <v>14921.71</v>
      </c>
      <c r="Y320" s="175">
        <v>0</v>
      </c>
      <c r="Z320" s="174">
        <f t="shared" si="60"/>
        <v>14921.71</v>
      </c>
    </row>
    <row r="321" spans="1:26" ht="12.75" hidden="1" outlineLevel="1">
      <c r="A321" s="174" t="s">
        <v>1179</v>
      </c>
      <c r="C321" s="175" t="s">
        <v>1180</v>
      </c>
      <c r="D321" s="175" t="s">
        <v>1181</v>
      </c>
      <c r="E321" s="174">
        <v>0</v>
      </c>
      <c r="F321" s="174">
        <v>275403.33</v>
      </c>
      <c r="G321" s="175">
        <f t="shared" si="54"/>
        <v>275403.33</v>
      </c>
      <c r="H321" s="174">
        <v>177318.92</v>
      </c>
      <c r="I321" s="174">
        <v>2855.56</v>
      </c>
      <c r="J321" s="174">
        <v>0</v>
      </c>
      <c r="K321" s="174">
        <v>36264.15</v>
      </c>
      <c r="L321" s="174">
        <f t="shared" si="55"/>
        <v>39119.71</v>
      </c>
      <c r="M321" s="174">
        <v>90.32</v>
      </c>
      <c r="N321" s="174">
        <v>35028.94</v>
      </c>
      <c r="O321" s="174">
        <v>-3122</v>
      </c>
      <c r="P321" s="174">
        <f t="shared" si="56"/>
        <v>31997.260000000002</v>
      </c>
      <c r="Q321" s="175">
        <v>208707.35</v>
      </c>
      <c r="R321" s="175">
        <v>187579.11</v>
      </c>
      <c r="S321" s="175">
        <v>0</v>
      </c>
      <c r="T321" s="175">
        <v>0</v>
      </c>
      <c r="U321" s="175">
        <f t="shared" si="57"/>
        <v>396286.45999999996</v>
      </c>
      <c r="V321" s="175">
        <f t="shared" si="58"/>
        <v>920125.6799999999</v>
      </c>
      <c r="W321" s="174">
        <v>0</v>
      </c>
      <c r="X321" s="174">
        <f t="shared" si="59"/>
        <v>920125.6799999999</v>
      </c>
      <c r="Y321" s="175">
        <v>-15.25</v>
      </c>
      <c r="Z321" s="174">
        <f t="shared" si="60"/>
        <v>920110.4299999999</v>
      </c>
    </row>
    <row r="322" spans="1:26" ht="12.75" hidden="1" outlineLevel="1">
      <c r="A322" s="174" t="s">
        <v>1182</v>
      </c>
      <c r="C322" s="175" t="s">
        <v>1183</v>
      </c>
      <c r="D322" s="175" t="s">
        <v>1184</v>
      </c>
      <c r="E322" s="174">
        <v>0</v>
      </c>
      <c r="F322" s="174">
        <v>0</v>
      </c>
      <c r="G322" s="175">
        <f t="shared" si="54"/>
        <v>0</v>
      </c>
      <c r="H322" s="174">
        <v>2029.34</v>
      </c>
      <c r="I322" s="174">
        <v>0</v>
      </c>
      <c r="J322" s="174">
        <v>0</v>
      </c>
      <c r="K322" s="174">
        <v>0</v>
      </c>
      <c r="L322" s="174">
        <f t="shared" si="55"/>
        <v>0</v>
      </c>
      <c r="M322" s="174">
        <v>0</v>
      </c>
      <c r="N322" s="174">
        <v>712.7</v>
      </c>
      <c r="O322" s="174">
        <v>1814.94</v>
      </c>
      <c r="P322" s="174">
        <f t="shared" si="56"/>
        <v>2527.6400000000003</v>
      </c>
      <c r="Q322" s="175">
        <v>0</v>
      </c>
      <c r="R322" s="175">
        <v>118421.58</v>
      </c>
      <c r="S322" s="175">
        <v>0</v>
      </c>
      <c r="T322" s="175">
        <v>0</v>
      </c>
      <c r="U322" s="175">
        <f t="shared" si="57"/>
        <v>118421.58</v>
      </c>
      <c r="V322" s="175">
        <f t="shared" si="58"/>
        <v>122978.56</v>
      </c>
      <c r="W322" s="174">
        <v>0</v>
      </c>
      <c r="X322" s="174">
        <f t="shared" si="59"/>
        <v>122978.56</v>
      </c>
      <c r="Y322" s="175">
        <v>0</v>
      </c>
      <c r="Z322" s="174">
        <f t="shared" si="60"/>
        <v>122978.56</v>
      </c>
    </row>
    <row r="323" spans="1:26" ht="12.75" hidden="1" outlineLevel="1">
      <c r="A323" s="174" t="s">
        <v>1185</v>
      </c>
      <c r="C323" s="175" t="s">
        <v>1186</v>
      </c>
      <c r="D323" s="175" t="s">
        <v>1187</v>
      </c>
      <c r="E323" s="174">
        <v>0</v>
      </c>
      <c r="F323" s="174">
        <v>-496.59</v>
      </c>
      <c r="G323" s="175">
        <f t="shared" si="54"/>
        <v>-496.59</v>
      </c>
      <c r="H323" s="174">
        <v>178.34</v>
      </c>
      <c r="I323" s="174">
        <v>0</v>
      </c>
      <c r="J323" s="174">
        <v>0</v>
      </c>
      <c r="K323" s="174">
        <v>0</v>
      </c>
      <c r="L323" s="174">
        <f t="shared" si="55"/>
        <v>0</v>
      </c>
      <c r="M323" s="174">
        <v>848.95</v>
      </c>
      <c r="N323" s="174">
        <v>4224035.23</v>
      </c>
      <c r="O323" s="174">
        <v>1043139.71</v>
      </c>
      <c r="P323" s="174">
        <f t="shared" si="56"/>
        <v>5268023.890000001</v>
      </c>
      <c r="Q323" s="175">
        <v>0</v>
      </c>
      <c r="R323" s="175">
        <v>-23259.49</v>
      </c>
      <c r="S323" s="175">
        <v>0</v>
      </c>
      <c r="T323" s="175">
        <v>0</v>
      </c>
      <c r="U323" s="175">
        <f t="shared" si="57"/>
        <v>-23259.49</v>
      </c>
      <c r="V323" s="175">
        <f t="shared" si="58"/>
        <v>5244446.15</v>
      </c>
      <c r="W323" s="174">
        <v>0</v>
      </c>
      <c r="X323" s="174">
        <f t="shared" si="59"/>
        <v>5244446.15</v>
      </c>
      <c r="Y323" s="175">
        <v>12733.19</v>
      </c>
      <c r="Z323" s="174">
        <f t="shared" si="60"/>
        <v>5257179.340000001</v>
      </c>
    </row>
    <row r="324" spans="1:26" ht="12.75" hidden="1" outlineLevel="1">
      <c r="A324" s="174" t="s">
        <v>1188</v>
      </c>
      <c r="C324" s="175" t="s">
        <v>1189</v>
      </c>
      <c r="D324" s="175" t="s">
        <v>1190</v>
      </c>
      <c r="E324" s="174">
        <v>0</v>
      </c>
      <c r="F324" s="174">
        <v>0</v>
      </c>
      <c r="G324" s="175">
        <f t="shared" si="54"/>
        <v>0</v>
      </c>
      <c r="H324" s="174">
        <v>30.56</v>
      </c>
      <c r="I324" s="174">
        <v>0</v>
      </c>
      <c r="J324" s="174">
        <v>0</v>
      </c>
      <c r="K324" s="174">
        <v>0</v>
      </c>
      <c r="L324" s="174">
        <f t="shared" si="55"/>
        <v>0</v>
      </c>
      <c r="M324" s="174">
        <v>-4.32</v>
      </c>
      <c r="N324" s="174">
        <v>1511525.98</v>
      </c>
      <c r="O324" s="174">
        <v>372008.15</v>
      </c>
      <c r="P324" s="174">
        <f t="shared" si="56"/>
        <v>1883529.81</v>
      </c>
      <c r="Q324" s="175">
        <v>0</v>
      </c>
      <c r="R324" s="175">
        <v>0</v>
      </c>
      <c r="S324" s="175">
        <v>0</v>
      </c>
      <c r="T324" s="175">
        <v>0</v>
      </c>
      <c r="U324" s="175">
        <f t="shared" si="57"/>
        <v>0</v>
      </c>
      <c r="V324" s="175">
        <f t="shared" si="58"/>
        <v>1883560.37</v>
      </c>
      <c r="W324" s="174">
        <v>0</v>
      </c>
      <c r="X324" s="174">
        <f t="shared" si="59"/>
        <v>1883560.37</v>
      </c>
      <c r="Y324" s="175">
        <v>-1494.08</v>
      </c>
      <c r="Z324" s="174">
        <f t="shared" si="60"/>
        <v>1882066.29</v>
      </c>
    </row>
    <row r="325" spans="1:27" ht="12.75" collapsed="1">
      <c r="A325" s="212" t="s">
        <v>1191</v>
      </c>
      <c r="B325" s="213"/>
      <c r="C325" s="212" t="s">
        <v>1192</v>
      </c>
      <c r="D325" s="214"/>
      <c r="E325" s="193">
        <v>-987.74</v>
      </c>
      <c r="F325" s="193">
        <v>290529.02</v>
      </c>
      <c r="G325" s="116">
        <f t="shared" si="54"/>
        <v>289541.28</v>
      </c>
      <c r="H325" s="116">
        <v>3534006.29</v>
      </c>
      <c r="I325" s="116">
        <v>2855.56</v>
      </c>
      <c r="J325" s="116">
        <v>0</v>
      </c>
      <c r="K325" s="116">
        <v>176376.11</v>
      </c>
      <c r="L325" s="116">
        <f t="shared" si="55"/>
        <v>179231.66999999998</v>
      </c>
      <c r="M325" s="116">
        <v>1277.55</v>
      </c>
      <c r="N325" s="116">
        <v>5028410.08</v>
      </c>
      <c r="O325" s="116">
        <v>1168243.4</v>
      </c>
      <c r="P325" s="116">
        <f t="shared" si="56"/>
        <v>6197931.029999999</v>
      </c>
      <c r="Q325" s="116">
        <v>208707.35</v>
      </c>
      <c r="R325" s="116">
        <v>282741.2</v>
      </c>
      <c r="S325" s="116">
        <v>0</v>
      </c>
      <c r="T325" s="116">
        <v>0</v>
      </c>
      <c r="U325" s="116">
        <f t="shared" si="57"/>
        <v>491448.55000000005</v>
      </c>
      <c r="V325" s="116">
        <f t="shared" si="58"/>
        <v>10692158.82</v>
      </c>
      <c r="W325" s="116">
        <v>0</v>
      </c>
      <c r="X325" s="116">
        <f t="shared" si="59"/>
        <v>10692158.82</v>
      </c>
      <c r="Y325" s="116">
        <v>16257.78</v>
      </c>
      <c r="Z325" s="116">
        <f t="shared" si="60"/>
        <v>10708416.6</v>
      </c>
      <c r="AA325" s="212"/>
    </row>
    <row r="326" spans="1:27" ht="12.75">
      <c r="A326" s="212" t="s">
        <v>2792</v>
      </c>
      <c r="B326" s="213"/>
      <c r="C326" s="212" t="s">
        <v>2845</v>
      </c>
      <c r="D326" s="214"/>
      <c r="E326" s="193">
        <v>0</v>
      </c>
      <c r="F326" s="193">
        <v>290764.71</v>
      </c>
      <c r="G326" s="116">
        <f t="shared" si="54"/>
        <v>290764.71</v>
      </c>
      <c r="H326" s="116">
        <v>5646674.3</v>
      </c>
      <c r="I326" s="116">
        <v>0</v>
      </c>
      <c r="J326" s="116">
        <v>0</v>
      </c>
      <c r="K326" s="116">
        <v>2759.71</v>
      </c>
      <c r="L326" s="116">
        <f t="shared" si="55"/>
        <v>2759.71</v>
      </c>
      <c r="M326" s="116">
        <v>0</v>
      </c>
      <c r="N326" s="116">
        <v>0</v>
      </c>
      <c r="O326" s="116">
        <v>0</v>
      </c>
      <c r="P326" s="116">
        <f t="shared" si="56"/>
        <v>0</v>
      </c>
      <c r="Q326" s="116">
        <v>0</v>
      </c>
      <c r="R326" s="116">
        <v>0</v>
      </c>
      <c r="S326" s="116">
        <v>0</v>
      </c>
      <c r="T326" s="116">
        <v>0</v>
      </c>
      <c r="U326" s="116">
        <f t="shared" si="57"/>
        <v>0</v>
      </c>
      <c r="V326" s="116">
        <f t="shared" si="58"/>
        <v>5940198.72</v>
      </c>
      <c r="W326" s="116">
        <v>0</v>
      </c>
      <c r="X326" s="116">
        <f t="shared" si="59"/>
        <v>5940198.72</v>
      </c>
      <c r="Y326" s="116">
        <v>1940568.1</v>
      </c>
      <c r="Z326" s="116">
        <f t="shared" si="60"/>
        <v>7880766.82</v>
      </c>
      <c r="AA326" s="212"/>
    </row>
    <row r="327" spans="1:26" ht="12.75" hidden="1" outlineLevel="1">
      <c r="A327" s="174" t="s">
        <v>1193</v>
      </c>
      <c r="C327" s="175" t="s">
        <v>1194</v>
      </c>
      <c r="D327" s="175" t="s">
        <v>1195</v>
      </c>
      <c r="E327" s="174">
        <v>0</v>
      </c>
      <c r="F327" s="174">
        <v>0</v>
      </c>
      <c r="G327" s="175">
        <f t="shared" si="54"/>
        <v>0</v>
      </c>
      <c r="H327" s="174">
        <v>0</v>
      </c>
      <c r="I327" s="174">
        <v>0</v>
      </c>
      <c r="J327" s="174">
        <v>0</v>
      </c>
      <c r="K327" s="174">
        <v>0</v>
      </c>
      <c r="L327" s="174">
        <f t="shared" si="55"/>
        <v>0</v>
      </c>
      <c r="M327" s="174">
        <v>0</v>
      </c>
      <c r="N327" s="174">
        <v>0</v>
      </c>
      <c r="O327" s="174">
        <v>0</v>
      </c>
      <c r="P327" s="174">
        <f t="shared" si="56"/>
        <v>0</v>
      </c>
      <c r="Q327" s="175">
        <v>0</v>
      </c>
      <c r="R327" s="175">
        <v>0</v>
      </c>
      <c r="S327" s="175">
        <v>-25364.85</v>
      </c>
      <c r="T327" s="175">
        <v>663531.44</v>
      </c>
      <c r="U327" s="175">
        <f t="shared" si="57"/>
        <v>638166.59</v>
      </c>
      <c r="V327" s="175">
        <f t="shared" si="58"/>
        <v>638166.59</v>
      </c>
      <c r="W327" s="174">
        <v>0</v>
      </c>
      <c r="X327" s="174">
        <f t="shared" si="59"/>
        <v>638166.59</v>
      </c>
      <c r="Y327" s="175">
        <v>0</v>
      </c>
      <c r="Z327" s="174">
        <f t="shared" si="60"/>
        <v>638166.59</v>
      </c>
    </row>
    <row r="328" spans="1:26" ht="12.75" hidden="1" outlineLevel="1">
      <c r="A328" s="174" t="s">
        <v>1196</v>
      </c>
      <c r="C328" s="175" t="s">
        <v>1197</v>
      </c>
      <c r="D328" s="175" t="s">
        <v>1198</v>
      </c>
      <c r="E328" s="174">
        <v>0</v>
      </c>
      <c r="F328" s="174">
        <v>0</v>
      </c>
      <c r="G328" s="175">
        <f t="shared" si="54"/>
        <v>0</v>
      </c>
      <c r="H328" s="174">
        <v>0</v>
      </c>
      <c r="I328" s="174">
        <v>0</v>
      </c>
      <c r="J328" s="174">
        <v>0</v>
      </c>
      <c r="K328" s="174">
        <v>0</v>
      </c>
      <c r="L328" s="174">
        <f t="shared" si="55"/>
        <v>0</v>
      </c>
      <c r="M328" s="174">
        <v>0</v>
      </c>
      <c r="N328" s="174">
        <v>0</v>
      </c>
      <c r="O328" s="174">
        <v>0</v>
      </c>
      <c r="P328" s="174">
        <f t="shared" si="56"/>
        <v>0</v>
      </c>
      <c r="Q328" s="175">
        <v>0</v>
      </c>
      <c r="R328" s="175">
        <v>0</v>
      </c>
      <c r="S328" s="175">
        <v>-638166.59</v>
      </c>
      <c r="T328" s="175">
        <v>0</v>
      </c>
      <c r="U328" s="175">
        <f t="shared" si="57"/>
        <v>-638166.59</v>
      </c>
      <c r="V328" s="175">
        <f t="shared" si="58"/>
        <v>-638166.59</v>
      </c>
      <c r="W328" s="174">
        <v>0</v>
      </c>
      <c r="X328" s="174">
        <f t="shared" si="59"/>
        <v>-638166.59</v>
      </c>
      <c r="Y328" s="175">
        <v>0</v>
      </c>
      <c r="Z328" s="174">
        <f t="shared" si="60"/>
        <v>-638166.59</v>
      </c>
    </row>
    <row r="329" spans="1:26" ht="12.75" hidden="1" outlineLevel="1">
      <c r="A329" s="174" t="s">
        <v>1199</v>
      </c>
      <c r="C329" s="175" t="s">
        <v>1200</v>
      </c>
      <c r="D329" s="175" t="s">
        <v>1201</v>
      </c>
      <c r="E329" s="174">
        <v>0</v>
      </c>
      <c r="F329" s="174">
        <v>0</v>
      </c>
      <c r="G329" s="175">
        <f t="shared" si="54"/>
        <v>0</v>
      </c>
      <c r="H329" s="174">
        <v>0</v>
      </c>
      <c r="I329" s="174">
        <v>0</v>
      </c>
      <c r="J329" s="174">
        <v>0</v>
      </c>
      <c r="K329" s="174">
        <v>0</v>
      </c>
      <c r="L329" s="174">
        <f t="shared" si="55"/>
        <v>0</v>
      </c>
      <c r="M329" s="174">
        <v>0</v>
      </c>
      <c r="N329" s="174">
        <v>0</v>
      </c>
      <c r="O329" s="174">
        <v>0</v>
      </c>
      <c r="P329" s="174">
        <f t="shared" si="56"/>
        <v>0</v>
      </c>
      <c r="Q329" s="175">
        <v>0</v>
      </c>
      <c r="R329" s="175">
        <v>0</v>
      </c>
      <c r="S329" s="175">
        <v>-1503849.56</v>
      </c>
      <c r="T329" s="175">
        <v>0</v>
      </c>
      <c r="U329" s="175">
        <f t="shared" si="57"/>
        <v>-1503849.56</v>
      </c>
      <c r="V329" s="175">
        <f t="shared" si="58"/>
        <v>-1503849.56</v>
      </c>
      <c r="W329" s="174">
        <v>0</v>
      </c>
      <c r="X329" s="174">
        <f t="shared" si="59"/>
        <v>-1503849.56</v>
      </c>
      <c r="Y329" s="175">
        <v>0</v>
      </c>
      <c r="Z329" s="174">
        <f t="shared" si="60"/>
        <v>-1503849.56</v>
      </c>
    </row>
    <row r="330" spans="1:26" ht="12.75" hidden="1" outlineLevel="1">
      <c r="A330" s="174" t="s">
        <v>1202</v>
      </c>
      <c r="C330" s="175" t="s">
        <v>1203</v>
      </c>
      <c r="D330" s="175" t="s">
        <v>1204</v>
      </c>
      <c r="E330" s="174">
        <v>0</v>
      </c>
      <c r="F330" s="174">
        <v>0</v>
      </c>
      <c r="G330" s="175">
        <f t="shared" si="54"/>
        <v>0</v>
      </c>
      <c r="H330" s="174">
        <v>0</v>
      </c>
      <c r="I330" s="174">
        <v>0</v>
      </c>
      <c r="J330" s="174">
        <v>0</v>
      </c>
      <c r="K330" s="174">
        <v>0</v>
      </c>
      <c r="L330" s="174">
        <f t="shared" si="55"/>
        <v>0</v>
      </c>
      <c r="M330" s="174">
        <v>0</v>
      </c>
      <c r="N330" s="174">
        <v>0</v>
      </c>
      <c r="O330" s="174">
        <v>0</v>
      </c>
      <c r="P330" s="174">
        <f t="shared" si="56"/>
        <v>0</v>
      </c>
      <c r="Q330" s="175">
        <v>0</v>
      </c>
      <c r="R330" s="175">
        <v>0</v>
      </c>
      <c r="S330" s="175">
        <v>32124.04</v>
      </c>
      <c r="T330" s="175">
        <v>0</v>
      </c>
      <c r="U330" s="175">
        <f t="shared" si="57"/>
        <v>32124.04</v>
      </c>
      <c r="V330" s="175">
        <f t="shared" si="58"/>
        <v>32124.04</v>
      </c>
      <c r="W330" s="174">
        <v>0</v>
      </c>
      <c r="X330" s="174">
        <f t="shared" si="59"/>
        <v>32124.04</v>
      </c>
      <c r="Y330" s="175">
        <v>0</v>
      </c>
      <c r="Z330" s="174">
        <f t="shared" si="60"/>
        <v>32124.04</v>
      </c>
    </row>
    <row r="331" spans="1:26" ht="12.75" hidden="1" outlineLevel="1">
      <c r="A331" s="174" t="s">
        <v>1205</v>
      </c>
      <c r="C331" s="175" t="s">
        <v>1206</v>
      </c>
      <c r="D331" s="175" t="s">
        <v>1207</v>
      </c>
      <c r="E331" s="174">
        <v>0</v>
      </c>
      <c r="F331" s="174">
        <v>0</v>
      </c>
      <c r="G331" s="175">
        <f t="shared" si="54"/>
        <v>0</v>
      </c>
      <c r="H331" s="174">
        <v>0</v>
      </c>
      <c r="I331" s="174">
        <v>0</v>
      </c>
      <c r="J331" s="174">
        <v>0</v>
      </c>
      <c r="K331" s="174">
        <v>0</v>
      </c>
      <c r="L331" s="174">
        <f t="shared" si="55"/>
        <v>0</v>
      </c>
      <c r="M331" s="174">
        <v>0</v>
      </c>
      <c r="N331" s="174">
        <v>0</v>
      </c>
      <c r="O331" s="174">
        <v>0</v>
      </c>
      <c r="P331" s="174">
        <f t="shared" si="56"/>
        <v>0</v>
      </c>
      <c r="Q331" s="175">
        <v>0</v>
      </c>
      <c r="R331" s="175">
        <v>0</v>
      </c>
      <c r="S331" s="175">
        <v>-6759.19</v>
      </c>
      <c r="T331" s="175">
        <v>0</v>
      </c>
      <c r="U331" s="175">
        <f t="shared" si="57"/>
        <v>-6759.19</v>
      </c>
      <c r="V331" s="175">
        <f t="shared" si="58"/>
        <v>-6759.19</v>
      </c>
      <c r="W331" s="174">
        <v>0</v>
      </c>
      <c r="X331" s="174">
        <f t="shared" si="59"/>
        <v>-6759.19</v>
      </c>
      <c r="Y331" s="175">
        <v>0</v>
      </c>
      <c r="Z331" s="174">
        <f t="shared" si="60"/>
        <v>-6759.19</v>
      </c>
    </row>
    <row r="332" spans="1:26" ht="12.75" hidden="1" outlineLevel="1">
      <c r="A332" s="174" t="s">
        <v>1208</v>
      </c>
      <c r="C332" s="175" t="s">
        <v>1209</v>
      </c>
      <c r="D332" s="175" t="s">
        <v>1210</v>
      </c>
      <c r="E332" s="174">
        <v>0</v>
      </c>
      <c r="F332" s="174">
        <v>0</v>
      </c>
      <c r="G332" s="175">
        <f t="shared" si="54"/>
        <v>0</v>
      </c>
      <c r="H332" s="174">
        <v>0</v>
      </c>
      <c r="I332" s="174">
        <v>0</v>
      </c>
      <c r="J332" s="174">
        <v>0</v>
      </c>
      <c r="K332" s="174">
        <v>0</v>
      </c>
      <c r="L332" s="174">
        <f t="shared" si="55"/>
        <v>0</v>
      </c>
      <c r="M332" s="174">
        <v>0</v>
      </c>
      <c r="N332" s="174">
        <v>0</v>
      </c>
      <c r="O332" s="174">
        <v>0</v>
      </c>
      <c r="P332" s="174">
        <f t="shared" si="56"/>
        <v>0</v>
      </c>
      <c r="Q332" s="175">
        <v>0</v>
      </c>
      <c r="R332" s="175">
        <v>0</v>
      </c>
      <c r="S332" s="175">
        <v>-12329.19</v>
      </c>
      <c r="T332" s="175">
        <v>0</v>
      </c>
      <c r="U332" s="175">
        <f t="shared" si="57"/>
        <v>-12329.19</v>
      </c>
      <c r="V332" s="175">
        <f t="shared" si="58"/>
        <v>-12329.19</v>
      </c>
      <c r="W332" s="174">
        <v>0</v>
      </c>
      <c r="X332" s="174">
        <f t="shared" si="59"/>
        <v>-12329.19</v>
      </c>
      <c r="Y332" s="175">
        <v>0</v>
      </c>
      <c r="Z332" s="174">
        <f t="shared" si="60"/>
        <v>-12329.19</v>
      </c>
    </row>
    <row r="333" spans="1:27" ht="12.75" collapsed="1">
      <c r="A333" s="212" t="s">
        <v>1211</v>
      </c>
      <c r="B333" s="213"/>
      <c r="C333" s="212" t="s">
        <v>2846</v>
      </c>
      <c r="D333" s="214"/>
      <c r="E333" s="193">
        <v>0</v>
      </c>
      <c r="F333" s="193">
        <v>0</v>
      </c>
      <c r="G333" s="116">
        <f t="shared" si="54"/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f t="shared" si="55"/>
        <v>0</v>
      </c>
      <c r="M333" s="116">
        <v>0</v>
      </c>
      <c r="N333" s="116">
        <v>0</v>
      </c>
      <c r="O333" s="116">
        <v>0</v>
      </c>
      <c r="P333" s="116">
        <f t="shared" si="56"/>
        <v>0</v>
      </c>
      <c r="Q333" s="116">
        <v>0</v>
      </c>
      <c r="R333" s="116">
        <v>0</v>
      </c>
      <c r="S333" s="116">
        <v>-2154345.34</v>
      </c>
      <c r="T333" s="116">
        <v>663531.44</v>
      </c>
      <c r="U333" s="116">
        <f t="shared" si="57"/>
        <v>-1490813.9</v>
      </c>
      <c r="V333" s="116">
        <f t="shared" si="58"/>
        <v>-1490813.9</v>
      </c>
      <c r="W333" s="116">
        <v>0</v>
      </c>
      <c r="X333" s="116">
        <f t="shared" si="59"/>
        <v>-1490813.9</v>
      </c>
      <c r="Y333" s="116">
        <v>0</v>
      </c>
      <c r="Z333" s="116">
        <f t="shared" si="60"/>
        <v>-1490813.9</v>
      </c>
      <c r="AA333" s="212"/>
    </row>
    <row r="334" spans="1:27" ht="12.75">
      <c r="A334" s="212" t="s">
        <v>1212</v>
      </c>
      <c r="B334" s="213"/>
      <c r="C334" s="212" t="s">
        <v>1213</v>
      </c>
      <c r="D334" s="214"/>
      <c r="E334" s="193">
        <v>0</v>
      </c>
      <c r="F334" s="193">
        <v>0</v>
      </c>
      <c r="G334" s="116">
        <f t="shared" si="54"/>
        <v>0</v>
      </c>
      <c r="H334" s="116">
        <v>0</v>
      </c>
      <c r="I334" s="116">
        <v>0</v>
      </c>
      <c r="J334" s="116">
        <v>0</v>
      </c>
      <c r="K334" s="116">
        <v>0</v>
      </c>
      <c r="L334" s="116">
        <f t="shared" si="55"/>
        <v>0</v>
      </c>
      <c r="M334" s="116">
        <v>0</v>
      </c>
      <c r="N334" s="116">
        <v>0</v>
      </c>
      <c r="O334" s="116">
        <v>0</v>
      </c>
      <c r="P334" s="116">
        <f t="shared" si="56"/>
        <v>0</v>
      </c>
      <c r="Q334" s="116">
        <v>0</v>
      </c>
      <c r="R334" s="116">
        <v>0</v>
      </c>
      <c r="S334" s="116">
        <v>0</v>
      </c>
      <c r="T334" s="116">
        <v>0</v>
      </c>
      <c r="U334" s="116">
        <f t="shared" si="57"/>
        <v>0</v>
      </c>
      <c r="V334" s="116">
        <f t="shared" si="58"/>
        <v>0</v>
      </c>
      <c r="W334" s="116">
        <v>0</v>
      </c>
      <c r="X334" s="116">
        <f t="shared" si="59"/>
        <v>0</v>
      </c>
      <c r="Y334" s="116">
        <v>0</v>
      </c>
      <c r="Z334" s="116">
        <f t="shared" si="60"/>
        <v>0</v>
      </c>
      <c r="AA334" s="212"/>
    </row>
    <row r="335" spans="1:26" ht="12.75" hidden="1" outlineLevel="1">
      <c r="A335" s="174" t="s">
        <v>1214</v>
      </c>
      <c r="C335" s="175" t="s">
        <v>1215</v>
      </c>
      <c r="D335" s="175" t="s">
        <v>1216</v>
      </c>
      <c r="E335" s="174">
        <v>0</v>
      </c>
      <c r="F335" s="174">
        <v>0</v>
      </c>
      <c r="G335" s="175">
        <f t="shared" si="54"/>
        <v>0</v>
      </c>
      <c r="H335" s="174">
        <v>0</v>
      </c>
      <c r="I335" s="174">
        <v>0</v>
      </c>
      <c r="J335" s="174">
        <v>0</v>
      </c>
      <c r="K335" s="174">
        <v>0</v>
      </c>
      <c r="L335" s="174">
        <f t="shared" si="55"/>
        <v>0</v>
      </c>
      <c r="M335" s="174">
        <v>0</v>
      </c>
      <c r="N335" s="174">
        <v>0</v>
      </c>
      <c r="O335" s="174">
        <v>-116138.41</v>
      </c>
      <c r="P335" s="174">
        <f t="shared" si="56"/>
        <v>-116138.41</v>
      </c>
      <c r="Q335" s="175">
        <v>0</v>
      </c>
      <c r="R335" s="175">
        <v>0</v>
      </c>
      <c r="S335" s="175">
        <v>0</v>
      </c>
      <c r="T335" s="175">
        <v>0</v>
      </c>
      <c r="U335" s="175">
        <f t="shared" si="57"/>
        <v>0</v>
      </c>
      <c r="V335" s="175">
        <f t="shared" si="58"/>
        <v>-116138.41</v>
      </c>
      <c r="W335" s="174">
        <v>0</v>
      </c>
      <c r="X335" s="174">
        <f t="shared" si="59"/>
        <v>-116138.41</v>
      </c>
      <c r="Y335" s="175">
        <v>-14478.3</v>
      </c>
      <c r="Z335" s="174">
        <f t="shared" si="60"/>
        <v>-130616.71</v>
      </c>
    </row>
    <row r="336" spans="1:27" ht="12.75" collapsed="1">
      <c r="A336" s="212" t="s">
        <v>1217</v>
      </c>
      <c r="B336" s="213"/>
      <c r="C336" s="212" t="s">
        <v>1218</v>
      </c>
      <c r="D336" s="214"/>
      <c r="E336" s="193">
        <v>0</v>
      </c>
      <c r="F336" s="193">
        <v>0</v>
      </c>
      <c r="G336" s="116">
        <f t="shared" si="54"/>
        <v>0</v>
      </c>
      <c r="H336" s="116">
        <v>0</v>
      </c>
      <c r="I336" s="116">
        <v>0</v>
      </c>
      <c r="J336" s="116">
        <v>0</v>
      </c>
      <c r="K336" s="116">
        <v>0</v>
      </c>
      <c r="L336" s="116">
        <f t="shared" si="55"/>
        <v>0</v>
      </c>
      <c r="M336" s="116">
        <v>0</v>
      </c>
      <c r="N336" s="116">
        <v>0</v>
      </c>
      <c r="O336" s="116">
        <v>-116138.41</v>
      </c>
      <c r="P336" s="116">
        <f t="shared" si="56"/>
        <v>-116138.41</v>
      </c>
      <c r="Q336" s="116">
        <v>0</v>
      </c>
      <c r="R336" s="116">
        <v>0</v>
      </c>
      <c r="S336" s="116">
        <v>0</v>
      </c>
      <c r="T336" s="116">
        <v>0</v>
      </c>
      <c r="U336" s="116">
        <f t="shared" si="57"/>
        <v>0</v>
      </c>
      <c r="V336" s="116">
        <f t="shared" si="58"/>
        <v>-116138.41</v>
      </c>
      <c r="W336" s="116">
        <v>0</v>
      </c>
      <c r="X336" s="116">
        <f t="shared" si="59"/>
        <v>-116138.41</v>
      </c>
      <c r="Y336" s="116">
        <v>-14478.3</v>
      </c>
      <c r="Z336" s="116">
        <f t="shared" si="60"/>
        <v>-130616.71</v>
      </c>
      <c r="AA336" s="212"/>
    </row>
    <row r="337" spans="2:26" ht="12.75">
      <c r="B337" s="213"/>
      <c r="C337" s="212"/>
      <c r="D337" s="214"/>
      <c r="E337" s="193"/>
      <c r="F337" s="193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7" s="222" customFormat="1" ht="15.75">
      <c r="A338" s="216"/>
      <c r="B338" s="217"/>
      <c r="C338" s="218" t="s">
        <v>2220</v>
      </c>
      <c r="D338" s="74"/>
      <c r="E338" s="155"/>
      <c r="F338" s="155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216"/>
    </row>
    <row r="339" spans="1:27" s="222" customFormat="1" ht="15.75">
      <c r="A339" s="216"/>
      <c r="B339" s="217"/>
      <c r="C339" s="218" t="s">
        <v>1552</v>
      </c>
      <c r="D339" s="74"/>
      <c r="E339" s="155">
        <f aca="true" t="shared" si="61" ref="E339:Z339">E336+E333+E326+E325+E312+E334</f>
        <v>-987.74</v>
      </c>
      <c r="F339" s="155">
        <f t="shared" si="61"/>
        <v>581293.73</v>
      </c>
      <c r="G339" s="117">
        <f t="shared" si="61"/>
        <v>580305.99</v>
      </c>
      <c r="H339" s="117">
        <f t="shared" si="61"/>
        <v>9180680.59</v>
      </c>
      <c r="I339" s="117">
        <f t="shared" si="61"/>
        <v>2855.56</v>
      </c>
      <c r="J339" s="117">
        <f t="shared" si="61"/>
        <v>0</v>
      </c>
      <c r="K339" s="117">
        <f t="shared" si="61"/>
        <v>179135.81999999998</v>
      </c>
      <c r="L339" s="117">
        <f t="shared" si="61"/>
        <v>181991.37999999998</v>
      </c>
      <c r="M339" s="117">
        <f t="shared" si="61"/>
        <v>1277.55</v>
      </c>
      <c r="N339" s="117">
        <f t="shared" si="61"/>
        <v>5028410.08</v>
      </c>
      <c r="O339" s="117">
        <f t="shared" si="61"/>
        <v>1052104.99</v>
      </c>
      <c r="P339" s="117">
        <f t="shared" si="61"/>
        <v>6081792.619999999</v>
      </c>
      <c r="Q339" s="117">
        <f t="shared" si="61"/>
        <v>208707.35</v>
      </c>
      <c r="R339" s="117">
        <f t="shared" si="61"/>
        <v>282741.2</v>
      </c>
      <c r="S339" s="117">
        <f t="shared" si="61"/>
        <v>-2154345.34</v>
      </c>
      <c r="T339" s="117">
        <f t="shared" si="61"/>
        <v>663531.44</v>
      </c>
      <c r="U339" s="117">
        <f t="shared" si="61"/>
        <v>-999365.3499999999</v>
      </c>
      <c r="V339" s="117">
        <f t="shared" si="61"/>
        <v>15025405.23</v>
      </c>
      <c r="W339" s="117">
        <f t="shared" si="61"/>
        <v>0</v>
      </c>
      <c r="X339" s="117">
        <f t="shared" si="61"/>
        <v>15025405.23</v>
      </c>
      <c r="Y339" s="117">
        <f t="shared" si="61"/>
        <v>1942347.58</v>
      </c>
      <c r="Z339" s="117">
        <f t="shared" si="61"/>
        <v>16967752.810000002</v>
      </c>
      <c r="AA339" s="216"/>
    </row>
    <row r="340" spans="2:26" ht="12.75">
      <c r="B340" s="213"/>
      <c r="C340" s="212"/>
      <c r="D340" s="214"/>
      <c r="E340" s="193"/>
      <c r="F340" s="193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7" ht="12.75">
      <c r="A341" s="212"/>
      <c r="B341" s="213"/>
      <c r="C341" s="212" t="s">
        <v>2848</v>
      </c>
      <c r="D341" s="214"/>
      <c r="E341" s="193">
        <v>0</v>
      </c>
      <c r="F341" s="193">
        <v>0</v>
      </c>
      <c r="G341" s="116">
        <f>E341+F341</f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f>J341+I341+K341</f>
        <v>0</v>
      </c>
      <c r="M341" s="116">
        <v>0</v>
      </c>
      <c r="N341" s="116">
        <v>0</v>
      </c>
      <c r="O341" s="116">
        <v>0</v>
      </c>
      <c r="P341" s="116">
        <f>M341+N341+O341</f>
        <v>0</v>
      </c>
      <c r="Q341" s="116">
        <v>0</v>
      </c>
      <c r="R341" s="116">
        <v>0</v>
      </c>
      <c r="S341" s="116">
        <v>0</v>
      </c>
      <c r="T341" s="116">
        <v>0</v>
      </c>
      <c r="U341" s="116">
        <f>Q341+R341+S341+T341</f>
        <v>0</v>
      </c>
      <c r="V341" s="116">
        <f>G341+H341+L341+P341+U341</f>
        <v>0</v>
      </c>
      <c r="W341" s="116">
        <v>0</v>
      </c>
      <c r="X341" s="116">
        <f>V341+W341</f>
        <v>0</v>
      </c>
      <c r="Y341" s="116">
        <v>0</v>
      </c>
      <c r="Z341" s="116">
        <f>X341+Y341</f>
        <v>0</v>
      </c>
      <c r="AA341" s="212"/>
    </row>
    <row r="342" spans="1:27" ht="12.75">
      <c r="A342" s="212"/>
      <c r="B342" s="213"/>
      <c r="C342" s="212" t="s">
        <v>1219</v>
      </c>
      <c r="D342" s="214"/>
      <c r="E342" s="193">
        <v>0</v>
      </c>
      <c r="F342" s="193">
        <v>0</v>
      </c>
      <c r="G342" s="116">
        <f>E342+F342</f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f>J342+I342+K342</f>
        <v>0</v>
      </c>
      <c r="M342" s="116">
        <v>0</v>
      </c>
      <c r="N342" s="116">
        <v>0</v>
      </c>
      <c r="O342" s="116">
        <v>0</v>
      </c>
      <c r="P342" s="116">
        <f>M342+N342+O342</f>
        <v>0</v>
      </c>
      <c r="Q342" s="116">
        <v>0</v>
      </c>
      <c r="R342" s="116">
        <v>1953307.88</v>
      </c>
      <c r="S342" s="116">
        <v>0</v>
      </c>
      <c r="T342" s="116">
        <v>0</v>
      </c>
      <c r="U342" s="116">
        <f>Q342+R342+S342+T342</f>
        <v>1953307.88</v>
      </c>
      <c r="V342" s="116">
        <f>G342+H342+L342+P342+U342</f>
        <v>1953307.88</v>
      </c>
      <c r="W342" s="116">
        <v>0</v>
      </c>
      <c r="X342" s="116">
        <f>V342+W342</f>
        <v>1953307.88</v>
      </c>
      <c r="Y342" s="116">
        <v>0</v>
      </c>
      <c r="Z342" s="116">
        <f>X342+Y342</f>
        <v>1953307.88</v>
      </c>
      <c r="AA342" s="212"/>
    </row>
    <row r="343" spans="1:27" ht="12.75">
      <c r="A343" s="223"/>
      <c r="B343" s="213"/>
      <c r="C343" s="212" t="s">
        <v>1220</v>
      </c>
      <c r="D343" s="214"/>
      <c r="E343" s="193">
        <v>0</v>
      </c>
      <c r="F343" s="193">
        <v>0</v>
      </c>
      <c r="G343" s="116">
        <f>E343+F343</f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f>J343+I343+K343</f>
        <v>0</v>
      </c>
      <c r="M343" s="116">
        <v>0</v>
      </c>
      <c r="N343" s="116">
        <v>0</v>
      </c>
      <c r="O343" s="116">
        <v>0</v>
      </c>
      <c r="P343" s="116">
        <f>M343+N343+O343</f>
        <v>0</v>
      </c>
      <c r="Q343" s="116">
        <v>0</v>
      </c>
      <c r="R343" s="116">
        <v>0</v>
      </c>
      <c r="S343" s="116">
        <v>0</v>
      </c>
      <c r="T343" s="116">
        <v>0</v>
      </c>
      <c r="U343" s="116">
        <f>Q343+R343+S343+T343</f>
        <v>0</v>
      </c>
      <c r="V343" s="116">
        <f>G343+H343+L343+P343+U343</f>
        <v>0</v>
      </c>
      <c r="W343" s="116">
        <v>0</v>
      </c>
      <c r="X343" s="116">
        <f>V343+W343</f>
        <v>0</v>
      </c>
      <c r="Y343" s="116">
        <v>0</v>
      </c>
      <c r="Z343" s="116">
        <f>X343+Y343</f>
        <v>0</v>
      </c>
      <c r="AA343" s="223"/>
    </row>
    <row r="344" spans="1:27" ht="12.75">
      <c r="A344" s="223" t="s">
        <v>2792</v>
      </c>
      <c r="B344" s="213"/>
      <c r="C344" s="212" t="s">
        <v>2850</v>
      </c>
      <c r="D344" s="214"/>
      <c r="E344" s="193">
        <v>0</v>
      </c>
      <c r="F344" s="193">
        <v>0</v>
      </c>
      <c r="G344" s="116">
        <f>E344+F344</f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f>J344+I344+K344</f>
        <v>0</v>
      </c>
      <c r="M344" s="116">
        <v>0</v>
      </c>
      <c r="N344" s="116">
        <v>4373106.02</v>
      </c>
      <c r="O344" s="116">
        <v>205043.06</v>
      </c>
      <c r="P344" s="116">
        <f>M344+N344+O344</f>
        <v>4578149.079999999</v>
      </c>
      <c r="Q344" s="116">
        <v>0</v>
      </c>
      <c r="R344" s="116">
        <v>0</v>
      </c>
      <c r="S344" s="116">
        <v>0</v>
      </c>
      <c r="T344" s="116">
        <v>0</v>
      </c>
      <c r="U344" s="116">
        <f>Q344+R344+S344+T344</f>
        <v>0</v>
      </c>
      <c r="V344" s="116">
        <f>G344+H344+L344+P344+U344</f>
        <v>4578149.079999999</v>
      </c>
      <c r="W344" s="116">
        <v>0</v>
      </c>
      <c r="X344" s="116">
        <f>V344+W344</f>
        <v>4578149.079999999</v>
      </c>
      <c r="Y344" s="116">
        <v>0</v>
      </c>
      <c r="Z344" s="116">
        <f>X344+Y344</f>
        <v>4578149.079999999</v>
      </c>
      <c r="AA344" s="223"/>
    </row>
    <row r="345" spans="1:27" ht="12.75">
      <c r="A345" s="191"/>
      <c r="B345" s="217"/>
      <c r="C345" s="218"/>
      <c r="D345" s="74"/>
      <c r="E345" s="155"/>
      <c r="F345" s="155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91"/>
    </row>
    <row r="346" spans="1:27" ht="12.75">
      <c r="A346" s="191"/>
      <c r="B346" s="217"/>
      <c r="C346" s="218" t="s">
        <v>1221</v>
      </c>
      <c r="D346" s="74"/>
      <c r="E346" s="155">
        <f aca="true" t="shared" si="62" ref="E346:Z346">E339+E341+E342+E343+E344</f>
        <v>-987.74</v>
      </c>
      <c r="F346" s="155">
        <f t="shared" si="62"/>
        <v>581293.73</v>
      </c>
      <c r="G346" s="117">
        <f t="shared" si="62"/>
        <v>580305.99</v>
      </c>
      <c r="H346" s="117">
        <f t="shared" si="62"/>
        <v>9180680.59</v>
      </c>
      <c r="I346" s="117">
        <f t="shared" si="62"/>
        <v>2855.56</v>
      </c>
      <c r="J346" s="117">
        <f t="shared" si="62"/>
        <v>0</v>
      </c>
      <c r="K346" s="117">
        <f t="shared" si="62"/>
        <v>179135.81999999998</v>
      </c>
      <c r="L346" s="117">
        <f t="shared" si="62"/>
        <v>181991.37999999998</v>
      </c>
      <c r="M346" s="117">
        <f t="shared" si="62"/>
        <v>1277.55</v>
      </c>
      <c r="N346" s="117">
        <f t="shared" si="62"/>
        <v>9401516.1</v>
      </c>
      <c r="O346" s="117">
        <f t="shared" si="62"/>
        <v>1257148.05</v>
      </c>
      <c r="P346" s="117">
        <f t="shared" si="62"/>
        <v>10659941.7</v>
      </c>
      <c r="Q346" s="117">
        <f t="shared" si="62"/>
        <v>208707.35</v>
      </c>
      <c r="R346" s="117">
        <f t="shared" si="62"/>
        <v>2236049.08</v>
      </c>
      <c r="S346" s="117">
        <f t="shared" si="62"/>
        <v>-2154345.34</v>
      </c>
      <c r="T346" s="117">
        <f t="shared" si="62"/>
        <v>663531.44</v>
      </c>
      <c r="U346" s="117">
        <f t="shared" si="62"/>
        <v>953942.53</v>
      </c>
      <c r="V346" s="117">
        <f t="shared" si="62"/>
        <v>21556862.189999998</v>
      </c>
      <c r="W346" s="117">
        <f t="shared" si="62"/>
        <v>0</v>
      </c>
      <c r="X346" s="117">
        <f t="shared" si="62"/>
        <v>21556862.189999998</v>
      </c>
      <c r="Y346" s="117">
        <f t="shared" si="62"/>
        <v>1942347.58</v>
      </c>
      <c r="Z346" s="117">
        <f t="shared" si="62"/>
        <v>23499209.77</v>
      </c>
      <c r="AA346" s="191"/>
    </row>
    <row r="347" spans="1:27" ht="12.75">
      <c r="A347" s="191"/>
      <c r="B347" s="217"/>
      <c r="C347" s="218"/>
      <c r="D347" s="74"/>
      <c r="E347" s="155"/>
      <c r="F347" s="155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91"/>
    </row>
    <row r="348" spans="1:26" ht="12.75" hidden="1" outlineLevel="1">
      <c r="A348" s="174" t="s">
        <v>1222</v>
      </c>
      <c r="C348" s="175" t="s">
        <v>1223</v>
      </c>
      <c r="D348" s="175" t="s">
        <v>1224</v>
      </c>
      <c r="E348" s="174">
        <v>0</v>
      </c>
      <c r="F348" s="174">
        <v>0</v>
      </c>
      <c r="G348" s="175">
        <f aca="true" t="shared" si="63" ref="G348:G373">E348+F348</f>
        <v>0</v>
      </c>
      <c r="H348" s="174">
        <v>30000</v>
      </c>
      <c r="I348" s="174">
        <v>0</v>
      </c>
      <c r="J348" s="174">
        <v>0</v>
      </c>
      <c r="K348" s="174">
        <v>0</v>
      </c>
      <c r="L348" s="174">
        <f aca="true" t="shared" si="64" ref="L348:L373">J348+I348+K348</f>
        <v>0</v>
      </c>
      <c r="M348" s="174">
        <v>0</v>
      </c>
      <c r="N348" s="174">
        <v>0</v>
      </c>
      <c r="O348" s="174">
        <v>0</v>
      </c>
      <c r="P348" s="174">
        <f aca="true" t="shared" si="65" ref="P348:P373">M348+N348+O348</f>
        <v>0</v>
      </c>
      <c r="Q348" s="175">
        <v>0</v>
      </c>
      <c r="R348" s="175">
        <v>0</v>
      </c>
      <c r="S348" s="175">
        <v>0</v>
      </c>
      <c r="T348" s="175">
        <v>0</v>
      </c>
      <c r="U348" s="175">
        <f aca="true" t="shared" si="66" ref="U348:U373">Q348+R348+S348+T348</f>
        <v>0</v>
      </c>
      <c r="V348" s="175">
        <f aca="true" t="shared" si="67" ref="V348:V373">G348+H348+L348+P348+U348</f>
        <v>30000</v>
      </c>
      <c r="W348" s="174">
        <v>0</v>
      </c>
      <c r="X348" s="174">
        <f aca="true" t="shared" si="68" ref="X348:X373">V348+W348</f>
        <v>30000</v>
      </c>
      <c r="Y348" s="175">
        <v>0</v>
      </c>
      <c r="Z348" s="174">
        <f aca="true" t="shared" si="69" ref="Z348:Z373">X348+Y348</f>
        <v>30000</v>
      </c>
    </row>
    <row r="349" spans="1:26" ht="12.75" hidden="1" outlineLevel="1">
      <c r="A349" s="174" t="s">
        <v>1225</v>
      </c>
      <c r="C349" s="175" t="s">
        <v>1226</v>
      </c>
      <c r="D349" s="175" t="s">
        <v>1227</v>
      </c>
      <c r="E349" s="174">
        <v>0</v>
      </c>
      <c r="F349" s="174">
        <v>0</v>
      </c>
      <c r="G349" s="175">
        <f t="shared" si="63"/>
        <v>0</v>
      </c>
      <c r="H349" s="174">
        <v>0</v>
      </c>
      <c r="I349" s="174">
        <v>0</v>
      </c>
      <c r="J349" s="174">
        <v>0</v>
      </c>
      <c r="K349" s="174">
        <v>0</v>
      </c>
      <c r="L349" s="174">
        <f t="shared" si="64"/>
        <v>0</v>
      </c>
      <c r="M349" s="174">
        <v>0</v>
      </c>
      <c r="N349" s="174">
        <v>0</v>
      </c>
      <c r="O349" s="174">
        <v>0</v>
      </c>
      <c r="P349" s="174">
        <f t="shared" si="65"/>
        <v>0</v>
      </c>
      <c r="Q349" s="175">
        <v>2553667.77</v>
      </c>
      <c r="R349" s="175">
        <v>0</v>
      </c>
      <c r="S349" s="175">
        <v>2142016.15</v>
      </c>
      <c r="T349" s="175">
        <v>0</v>
      </c>
      <c r="U349" s="175">
        <f t="shared" si="66"/>
        <v>4695683.92</v>
      </c>
      <c r="V349" s="175">
        <f t="shared" si="67"/>
        <v>4695683.92</v>
      </c>
      <c r="W349" s="174">
        <v>0</v>
      </c>
      <c r="X349" s="174">
        <f t="shared" si="68"/>
        <v>4695683.92</v>
      </c>
      <c r="Y349" s="175">
        <v>0</v>
      </c>
      <c r="Z349" s="174">
        <f t="shared" si="69"/>
        <v>4695683.92</v>
      </c>
    </row>
    <row r="350" spans="1:26" ht="12.75" hidden="1" outlineLevel="1">
      <c r="A350" s="174" t="s">
        <v>1228</v>
      </c>
      <c r="C350" s="175" t="s">
        <v>1229</v>
      </c>
      <c r="D350" s="175" t="s">
        <v>1230</v>
      </c>
      <c r="E350" s="174">
        <v>0</v>
      </c>
      <c r="F350" s="174">
        <v>0</v>
      </c>
      <c r="G350" s="175">
        <f t="shared" si="63"/>
        <v>0</v>
      </c>
      <c r="H350" s="174">
        <v>95430.61</v>
      </c>
      <c r="I350" s="174">
        <v>0</v>
      </c>
      <c r="J350" s="174">
        <v>0</v>
      </c>
      <c r="K350" s="174">
        <v>0</v>
      </c>
      <c r="L350" s="174">
        <f t="shared" si="64"/>
        <v>0</v>
      </c>
      <c r="M350" s="174">
        <v>0</v>
      </c>
      <c r="N350" s="174">
        <v>3000</v>
      </c>
      <c r="O350" s="174">
        <v>0</v>
      </c>
      <c r="P350" s="174">
        <f t="shared" si="65"/>
        <v>3000</v>
      </c>
      <c r="Q350" s="175">
        <v>0</v>
      </c>
      <c r="R350" s="175">
        <v>0</v>
      </c>
      <c r="S350" s="175">
        <v>0</v>
      </c>
      <c r="T350" s="175">
        <v>0</v>
      </c>
      <c r="U350" s="175">
        <f t="shared" si="66"/>
        <v>0</v>
      </c>
      <c r="V350" s="175">
        <f t="shared" si="67"/>
        <v>98430.61</v>
      </c>
      <c r="W350" s="174">
        <v>0</v>
      </c>
      <c r="X350" s="174">
        <f t="shared" si="68"/>
        <v>98430.61</v>
      </c>
      <c r="Y350" s="175">
        <v>0</v>
      </c>
      <c r="Z350" s="174">
        <f t="shared" si="69"/>
        <v>98430.61</v>
      </c>
    </row>
    <row r="351" spans="1:26" ht="12.75" hidden="1" outlineLevel="1">
      <c r="A351" s="174" t="s">
        <v>1231</v>
      </c>
      <c r="C351" s="175" t="s">
        <v>1232</v>
      </c>
      <c r="D351" s="175" t="s">
        <v>1233</v>
      </c>
      <c r="E351" s="174">
        <v>0</v>
      </c>
      <c r="F351" s="174">
        <v>0</v>
      </c>
      <c r="G351" s="175">
        <f t="shared" si="63"/>
        <v>0</v>
      </c>
      <c r="H351" s="174">
        <v>0</v>
      </c>
      <c r="I351" s="174">
        <v>0</v>
      </c>
      <c r="J351" s="174">
        <v>0</v>
      </c>
      <c r="K351" s="174">
        <v>0</v>
      </c>
      <c r="L351" s="174">
        <f t="shared" si="64"/>
        <v>0</v>
      </c>
      <c r="M351" s="174">
        <v>0</v>
      </c>
      <c r="N351" s="174">
        <v>-30000</v>
      </c>
      <c r="O351" s="174">
        <v>0</v>
      </c>
      <c r="P351" s="174">
        <f t="shared" si="65"/>
        <v>-30000</v>
      </c>
      <c r="Q351" s="175">
        <v>0</v>
      </c>
      <c r="R351" s="175">
        <v>0</v>
      </c>
      <c r="S351" s="175">
        <v>0</v>
      </c>
      <c r="T351" s="175">
        <v>0</v>
      </c>
      <c r="U351" s="175">
        <f t="shared" si="66"/>
        <v>0</v>
      </c>
      <c r="V351" s="175">
        <f t="shared" si="67"/>
        <v>-30000</v>
      </c>
      <c r="W351" s="174">
        <v>0</v>
      </c>
      <c r="X351" s="174">
        <f t="shared" si="68"/>
        <v>-30000</v>
      </c>
      <c r="Y351" s="175">
        <v>0</v>
      </c>
      <c r="Z351" s="174">
        <f t="shared" si="69"/>
        <v>-30000</v>
      </c>
    </row>
    <row r="352" spans="1:26" ht="12.75" hidden="1" outlineLevel="1">
      <c r="A352" s="174" t="s">
        <v>1234</v>
      </c>
      <c r="C352" s="175" t="s">
        <v>1235</v>
      </c>
      <c r="D352" s="175" t="s">
        <v>1236</v>
      </c>
      <c r="E352" s="174">
        <v>0</v>
      </c>
      <c r="F352" s="174">
        <v>-2153304</v>
      </c>
      <c r="G352" s="175">
        <f t="shared" si="63"/>
        <v>-2153304</v>
      </c>
      <c r="H352" s="174">
        <v>0</v>
      </c>
      <c r="I352" s="174">
        <v>0</v>
      </c>
      <c r="J352" s="174">
        <v>0</v>
      </c>
      <c r="K352" s="174">
        <v>0</v>
      </c>
      <c r="L352" s="174">
        <f t="shared" si="64"/>
        <v>0</v>
      </c>
      <c r="M352" s="174">
        <v>0</v>
      </c>
      <c r="N352" s="174">
        <v>0</v>
      </c>
      <c r="O352" s="174">
        <v>0</v>
      </c>
      <c r="P352" s="174">
        <f t="shared" si="65"/>
        <v>0</v>
      </c>
      <c r="Q352" s="175">
        <v>-2142016.15</v>
      </c>
      <c r="R352" s="175">
        <v>0</v>
      </c>
      <c r="S352" s="175">
        <v>-400363.77</v>
      </c>
      <c r="T352" s="175">
        <v>0</v>
      </c>
      <c r="U352" s="175">
        <f t="shared" si="66"/>
        <v>-2542379.92</v>
      </c>
      <c r="V352" s="175">
        <f t="shared" si="67"/>
        <v>-4695683.92</v>
      </c>
      <c r="W352" s="174">
        <v>0</v>
      </c>
      <c r="X352" s="174">
        <f t="shared" si="68"/>
        <v>-4695683.92</v>
      </c>
      <c r="Y352" s="175">
        <v>0</v>
      </c>
      <c r="Z352" s="174">
        <f t="shared" si="69"/>
        <v>-4695683.92</v>
      </c>
    </row>
    <row r="353" spans="1:26" ht="12.75" hidden="1" outlineLevel="1">
      <c r="A353" s="174" t="s">
        <v>1237</v>
      </c>
      <c r="C353" s="175" t="s">
        <v>1238</v>
      </c>
      <c r="D353" s="175" t="s">
        <v>1239</v>
      </c>
      <c r="E353" s="174">
        <v>0</v>
      </c>
      <c r="F353" s="174">
        <v>0</v>
      </c>
      <c r="G353" s="175">
        <f t="shared" si="63"/>
        <v>0</v>
      </c>
      <c r="H353" s="174">
        <v>0</v>
      </c>
      <c r="I353" s="174">
        <v>0</v>
      </c>
      <c r="J353" s="174">
        <v>0</v>
      </c>
      <c r="K353" s="174">
        <v>0</v>
      </c>
      <c r="L353" s="174">
        <f t="shared" si="64"/>
        <v>0</v>
      </c>
      <c r="M353" s="174">
        <v>0</v>
      </c>
      <c r="N353" s="174">
        <v>-98430.61</v>
      </c>
      <c r="O353" s="174">
        <v>0</v>
      </c>
      <c r="P353" s="174">
        <f t="shared" si="65"/>
        <v>-98430.61</v>
      </c>
      <c r="Q353" s="175">
        <v>0</v>
      </c>
      <c r="R353" s="175">
        <v>0</v>
      </c>
      <c r="S353" s="175">
        <v>0</v>
      </c>
      <c r="T353" s="175">
        <v>0</v>
      </c>
      <c r="U353" s="175">
        <f t="shared" si="66"/>
        <v>0</v>
      </c>
      <c r="V353" s="175">
        <f t="shared" si="67"/>
        <v>-98430.61</v>
      </c>
      <c r="W353" s="174">
        <v>0</v>
      </c>
      <c r="X353" s="174">
        <f t="shared" si="68"/>
        <v>-98430.61</v>
      </c>
      <c r="Y353" s="175">
        <v>0</v>
      </c>
      <c r="Z353" s="174">
        <f t="shared" si="69"/>
        <v>-98430.61</v>
      </c>
    </row>
    <row r="354" spans="1:27" ht="12.75" collapsed="1">
      <c r="A354" s="212" t="s">
        <v>1240</v>
      </c>
      <c r="B354" s="213"/>
      <c r="C354" s="212" t="s">
        <v>2851</v>
      </c>
      <c r="D354" s="214"/>
      <c r="E354" s="193">
        <v>0</v>
      </c>
      <c r="F354" s="193">
        <v>-2153304</v>
      </c>
      <c r="G354" s="116">
        <f t="shared" si="63"/>
        <v>-2153304</v>
      </c>
      <c r="H354" s="116">
        <v>125430.61</v>
      </c>
      <c r="I354" s="116">
        <v>0</v>
      </c>
      <c r="J354" s="116">
        <v>0</v>
      </c>
      <c r="K354" s="116">
        <v>0</v>
      </c>
      <c r="L354" s="116">
        <f t="shared" si="64"/>
        <v>0</v>
      </c>
      <c r="M354" s="116">
        <v>0</v>
      </c>
      <c r="N354" s="116">
        <v>-125430.61</v>
      </c>
      <c r="O354" s="116">
        <v>0</v>
      </c>
      <c r="P354" s="116">
        <f t="shared" si="65"/>
        <v>-125430.61</v>
      </c>
      <c r="Q354" s="116">
        <v>411651.62</v>
      </c>
      <c r="R354" s="116">
        <v>0</v>
      </c>
      <c r="S354" s="116">
        <v>1741652.38</v>
      </c>
      <c r="T354" s="116">
        <v>0</v>
      </c>
      <c r="U354" s="116">
        <f t="shared" si="66"/>
        <v>2153304</v>
      </c>
      <c r="V354" s="116">
        <f t="shared" si="67"/>
        <v>0</v>
      </c>
      <c r="W354" s="116">
        <v>0</v>
      </c>
      <c r="X354" s="116">
        <f t="shared" si="68"/>
        <v>0</v>
      </c>
      <c r="Y354" s="116">
        <v>0</v>
      </c>
      <c r="Z354" s="116">
        <f t="shared" si="69"/>
        <v>0</v>
      </c>
      <c r="AA354" s="212"/>
    </row>
    <row r="355" spans="1:26" ht="12.75" hidden="1" outlineLevel="1">
      <c r="A355" s="174" t="s">
        <v>1241</v>
      </c>
      <c r="C355" s="175" t="s">
        <v>1242</v>
      </c>
      <c r="D355" s="175" t="s">
        <v>1243</v>
      </c>
      <c r="E355" s="174">
        <v>0</v>
      </c>
      <c r="F355" s="174">
        <v>6988</v>
      </c>
      <c r="G355" s="175">
        <f t="shared" si="63"/>
        <v>6988</v>
      </c>
      <c r="H355" s="174">
        <v>3326.95</v>
      </c>
      <c r="I355" s="174">
        <v>0</v>
      </c>
      <c r="J355" s="174">
        <v>0</v>
      </c>
      <c r="K355" s="174">
        <v>86029.42</v>
      </c>
      <c r="L355" s="174">
        <f t="shared" si="64"/>
        <v>86029.42</v>
      </c>
      <c r="M355" s="174">
        <v>10000</v>
      </c>
      <c r="N355" s="174">
        <v>2995136.07</v>
      </c>
      <c r="O355" s="174">
        <v>134607.46</v>
      </c>
      <c r="P355" s="174">
        <f t="shared" si="65"/>
        <v>3139743.53</v>
      </c>
      <c r="Q355" s="175">
        <v>947482.8</v>
      </c>
      <c r="R355" s="175">
        <v>1029557.88</v>
      </c>
      <c r="S355" s="175">
        <v>0</v>
      </c>
      <c r="T355" s="175">
        <v>0</v>
      </c>
      <c r="U355" s="175">
        <f t="shared" si="66"/>
        <v>1977040.6800000002</v>
      </c>
      <c r="V355" s="175">
        <f t="shared" si="67"/>
        <v>5213128.58</v>
      </c>
      <c r="W355" s="174">
        <v>0</v>
      </c>
      <c r="X355" s="174">
        <f t="shared" si="68"/>
        <v>5213128.58</v>
      </c>
      <c r="Y355" s="175">
        <v>0</v>
      </c>
      <c r="Z355" s="174">
        <f t="shared" si="69"/>
        <v>5213128.58</v>
      </c>
    </row>
    <row r="356" spans="1:26" ht="12.75" hidden="1" outlineLevel="1">
      <c r="A356" s="174" t="s">
        <v>1244</v>
      </c>
      <c r="C356" s="175" t="s">
        <v>1245</v>
      </c>
      <c r="D356" s="175" t="s">
        <v>1246</v>
      </c>
      <c r="E356" s="174">
        <v>0</v>
      </c>
      <c r="F356" s="174">
        <v>7423.96</v>
      </c>
      <c r="G356" s="175">
        <f t="shared" si="63"/>
        <v>7423.96</v>
      </c>
      <c r="H356" s="174">
        <v>0</v>
      </c>
      <c r="I356" s="174">
        <v>0</v>
      </c>
      <c r="J356" s="174">
        <v>0</v>
      </c>
      <c r="K356" s="174">
        <v>0</v>
      </c>
      <c r="L356" s="174">
        <f t="shared" si="64"/>
        <v>0</v>
      </c>
      <c r="M356" s="174">
        <v>0</v>
      </c>
      <c r="N356" s="174">
        <v>0</v>
      </c>
      <c r="O356" s="174">
        <v>0</v>
      </c>
      <c r="P356" s="174">
        <f t="shared" si="65"/>
        <v>0</v>
      </c>
      <c r="Q356" s="175">
        <v>0</v>
      </c>
      <c r="R356" s="175">
        <v>0</v>
      </c>
      <c r="S356" s="175">
        <v>0</v>
      </c>
      <c r="T356" s="175">
        <v>0</v>
      </c>
      <c r="U356" s="175">
        <f t="shared" si="66"/>
        <v>0</v>
      </c>
      <c r="V356" s="175">
        <f t="shared" si="67"/>
        <v>7423.96</v>
      </c>
      <c r="W356" s="174">
        <v>0</v>
      </c>
      <c r="X356" s="174">
        <f t="shared" si="68"/>
        <v>7423.96</v>
      </c>
      <c r="Y356" s="175">
        <v>0</v>
      </c>
      <c r="Z356" s="174">
        <f t="shared" si="69"/>
        <v>7423.96</v>
      </c>
    </row>
    <row r="357" spans="1:26" ht="12.75" hidden="1" outlineLevel="1">
      <c r="A357" s="174" t="s">
        <v>1247</v>
      </c>
      <c r="C357" s="175" t="s">
        <v>1248</v>
      </c>
      <c r="D357" s="175" t="s">
        <v>1249</v>
      </c>
      <c r="E357" s="174">
        <v>0</v>
      </c>
      <c r="F357" s="174">
        <v>0</v>
      </c>
      <c r="G357" s="175">
        <f t="shared" si="63"/>
        <v>0</v>
      </c>
      <c r="H357" s="174">
        <v>0</v>
      </c>
      <c r="I357" s="174">
        <v>0</v>
      </c>
      <c r="J357" s="174">
        <v>0</v>
      </c>
      <c r="K357" s="174">
        <v>0</v>
      </c>
      <c r="L357" s="174">
        <f t="shared" si="64"/>
        <v>0</v>
      </c>
      <c r="M357" s="174">
        <v>0</v>
      </c>
      <c r="N357" s="174">
        <v>0</v>
      </c>
      <c r="O357" s="174">
        <v>0</v>
      </c>
      <c r="P357" s="174">
        <f t="shared" si="65"/>
        <v>0</v>
      </c>
      <c r="Q357" s="175">
        <v>900000</v>
      </c>
      <c r="R357" s="175">
        <v>0</v>
      </c>
      <c r="S357" s="175">
        <v>0</v>
      </c>
      <c r="T357" s="175">
        <v>0</v>
      </c>
      <c r="U357" s="175">
        <f t="shared" si="66"/>
        <v>900000</v>
      </c>
      <c r="V357" s="175">
        <f t="shared" si="67"/>
        <v>900000</v>
      </c>
      <c r="W357" s="174">
        <v>0</v>
      </c>
      <c r="X357" s="174">
        <f t="shared" si="68"/>
        <v>900000</v>
      </c>
      <c r="Y357" s="175">
        <v>0</v>
      </c>
      <c r="Z357" s="174">
        <f t="shared" si="69"/>
        <v>900000</v>
      </c>
    </row>
    <row r="358" spans="1:26" ht="12.75" hidden="1" outlineLevel="1">
      <c r="A358" s="174" t="s">
        <v>1250</v>
      </c>
      <c r="C358" s="175" t="s">
        <v>2151</v>
      </c>
      <c r="D358" s="175" t="s">
        <v>2152</v>
      </c>
      <c r="E358" s="174">
        <v>0</v>
      </c>
      <c r="F358" s="174">
        <v>0</v>
      </c>
      <c r="G358" s="175">
        <f t="shared" si="63"/>
        <v>0</v>
      </c>
      <c r="H358" s="174">
        <v>56500</v>
      </c>
      <c r="I358" s="174">
        <v>0</v>
      </c>
      <c r="J358" s="174">
        <v>0</v>
      </c>
      <c r="K358" s="174">
        <v>62259.2</v>
      </c>
      <c r="L358" s="174">
        <f t="shared" si="64"/>
        <v>62259.2</v>
      </c>
      <c r="M358" s="174">
        <v>0</v>
      </c>
      <c r="N358" s="174">
        <v>75000</v>
      </c>
      <c r="O358" s="174">
        <v>1000</v>
      </c>
      <c r="P358" s="174">
        <f t="shared" si="65"/>
        <v>76000</v>
      </c>
      <c r="Q358" s="175">
        <v>37293.59</v>
      </c>
      <c r="R358" s="175">
        <v>0</v>
      </c>
      <c r="S358" s="175">
        <v>0</v>
      </c>
      <c r="T358" s="175">
        <v>0</v>
      </c>
      <c r="U358" s="175">
        <f t="shared" si="66"/>
        <v>37293.59</v>
      </c>
      <c r="V358" s="175">
        <f t="shared" si="67"/>
        <v>232052.79</v>
      </c>
      <c r="W358" s="174">
        <v>0</v>
      </c>
      <c r="X358" s="174">
        <f t="shared" si="68"/>
        <v>232052.79</v>
      </c>
      <c r="Y358" s="175">
        <v>0</v>
      </c>
      <c r="Z358" s="174">
        <f t="shared" si="69"/>
        <v>232052.79</v>
      </c>
    </row>
    <row r="359" spans="1:26" ht="12.75" hidden="1" outlineLevel="1">
      <c r="A359" s="174" t="s">
        <v>2153</v>
      </c>
      <c r="C359" s="175" t="s">
        <v>2154</v>
      </c>
      <c r="D359" s="175" t="s">
        <v>2155</v>
      </c>
      <c r="E359" s="174">
        <v>0</v>
      </c>
      <c r="F359" s="174">
        <v>-979776.39</v>
      </c>
      <c r="G359" s="175">
        <f t="shared" si="63"/>
        <v>-979776.39</v>
      </c>
      <c r="H359" s="174">
        <v>-473014.1</v>
      </c>
      <c r="I359" s="174">
        <v>-66202.22</v>
      </c>
      <c r="J359" s="174">
        <v>0</v>
      </c>
      <c r="K359" s="174">
        <v>-151458.92</v>
      </c>
      <c r="L359" s="174">
        <f t="shared" si="64"/>
        <v>-217661.14</v>
      </c>
      <c r="M359" s="174">
        <v>0</v>
      </c>
      <c r="N359" s="174">
        <v>-2751798.95</v>
      </c>
      <c r="O359" s="174">
        <v>-792856.64</v>
      </c>
      <c r="P359" s="174">
        <f t="shared" si="65"/>
        <v>-3544655.5900000003</v>
      </c>
      <c r="Q359" s="175">
        <v>-6988</v>
      </c>
      <c r="R359" s="175">
        <v>-3326.95</v>
      </c>
      <c r="S359" s="175">
        <v>0</v>
      </c>
      <c r="T359" s="175">
        <v>0</v>
      </c>
      <c r="U359" s="175">
        <f t="shared" si="66"/>
        <v>-10314.95</v>
      </c>
      <c r="V359" s="175">
        <f t="shared" si="67"/>
        <v>-5225422.170000001</v>
      </c>
      <c r="W359" s="174">
        <v>0</v>
      </c>
      <c r="X359" s="174">
        <f t="shared" si="68"/>
        <v>-5225422.170000001</v>
      </c>
      <c r="Y359" s="175">
        <v>0</v>
      </c>
      <c r="Z359" s="174">
        <f t="shared" si="69"/>
        <v>-5225422.170000001</v>
      </c>
    </row>
    <row r="360" spans="1:26" ht="12.75" hidden="1" outlineLevel="1">
      <c r="A360" s="174" t="s">
        <v>2156</v>
      </c>
      <c r="C360" s="175" t="s">
        <v>2157</v>
      </c>
      <c r="D360" s="175" t="s">
        <v>2158</v>
      </c>
      <c r="E360" s="174">
        <v>0</v>
      </c>
      <c r="F360" s="174">
        <v>-14641.34</v>
      </c>
      <c r="G360" s="175">
        <f t="shared" si="63"/>
        <v>-14641.34</v>
      </c>
      <c r="H360" s="174">
        <v>0</v>
      </c>
      <c r="I360" s="174">
        <v>0</v>
      </c>
      <c r="J360" s="174">
        <v>0</v>
      </c>
      <c r="K360" s="174">
        <v>0</v>
      </c>
      <c r="L360" s="174">
        <f t="shared" si="64"/>
        <v>0</v>
      </c>
      <c r="M360" s="174">
        <v>0</v>
      </c>
      <c r="N360" s="174">
        <v>0</v>
      </c>
      <c r="O360" s="174">
        <v>0</v>
      </c>
      <c r="P360" s="174">
        <f t="shared" si="65"/>
        <v>0</v>
      </c>
      <c r="Q360" s="175">
        <v>0</v>
      </c>
      <c r="R360" s="175">
        <v>0</v>
      </c>
      <c r="S360" s="175">
        <v>0</v>
      </c>
      <c r="T360" s="175">
        <v>0</v>
      </c>
      <c r="U360" s="175">
        <f t="shared" si="66"/>
        <v>0</v>
      </c>
      <c r="V360" s="175">
        <f t="shared" si="67"/>
        <v>-14641.34</v>
      </c>
      <c r="W360" s="174">
        <v>0</v>
      </c>
      <c r="X360" s="174">
        <f t="shared" si="68"/>
        <v>-14641.34</v>
      </c>
      <c r="Y360" s="175">
        <v>0</v>
      </c>
      <c r="Z360" s="174">
        <f t="shared" si="69"/>
        <v>-14641.34</v>
      </c>
    </row>
    <row r="361" spans="1:26" ht="12.75" hidden="1" outlineLevel="1">
      <c r="A361" s="174" t="s">
        <v>2159</v>
      </c>
      <c r="C361" s="175" t="s">
        <v>2160</v>
      </c>
      <c r="D361" s="175" t="s">
        <v>2161</v>
      </c>
      <c r="E361" s="174">
        <v>0</v>
      </c>
      <c r="F361" s="174">
        <v>-900000</v>
      </c>
      <c r="G361" s="175">
        <f t="shared" si="63"/>
        <v>-900000</v>
      </c>
      <c r="H361" s="174">
        <v>0</v>
      </c>
      <c r="I361" s="174">
        <v>0</v>
      </c>
      <c r="J361" s="174">
        <v>0</v>
      </c>
      <c r="K361" s="174">
        <v>0</v>
      </c>
      <c r="L361" s="174">
        <f t="shared" si="64"/>
        <v>0</v>
      </c>
      <c r="M361" s="174">
        <v>0</v>
      </c>
      <c r="N361" s="174">
        <v>0</v>
      </c>
      <c r="O361" s="174">
        <v>0</v>
      </c>
      <c r="P361" s="174">
        <f t="shared" si="65"/>
        <v>0</v>
      </c>
      <c r="Q361" s="175">
        <v>0</v>
      </c>
      <c r="R361" s="175">
        <v>0</v>
      </c>
      <c r="S361" s="175">
        <v>0</v>
      </c>
      <c r="T361" s="175">
        <v>0</v>
      </c>
      <c r="U361" s="175">
        <f t="shared" si="66"/>
        <v>0</v>
      </c>
      <c r="V361" s="175">
        <f t="shared" si="67"/>
        <v>-900000</v>
      </c>
      <c r="W361" s="174">
        <v>0</v>
      </c>
      <c r="X361" s="174">
        <f t="shared" si="68"/>
        <v>-900000</v>
      </c>
      <c r="Y361" s="175">
        <v>0</v>
      </c>
      <c r="Z361" s="174">
        <f t="shared" si="69"/>
        <v>-900000</v>
      </c>
    </row>
    <row r="362" spans="1:26" ht="12.75" hidden="1" outlineLevel="1">
      <c r="A362" s="174" t="s">
        <v>2162</v>
      </c>
      <c r="C362" s="175" t="s">
        <v>2163</v>
      </c>
      <c r="D362" s="175" t="s">
        <v>2164</v>
      </c>
      <c r="E362" s="174">
        <v>0</v>
      </c>
      <c r="F362" s="174">
        <v>-25000</v>
      </c>
      <c r="G362" s="175">
        <f t="shared" si="63"/>
        <v>-25000</v>
      </c>
      <c r="H362" s="174">
        <v>-1000</v>
      </c>
      <c r="I362" s="174">
        <v>0</v>
      </c>
      <c r="J362" s="174">
        <v>0</v>
      </c>
      <c r="K362" s="174">
        <v>132976.48</v>
      </c>
      <c r="L362" s="174">
        <f t="shared" si="64"/>
        <v>132976.48</v>
      </c>
      <c r="M362" s="174">
        <v>0</v>
      </c>
      <c r="N362" s="174">
        <v>-1000</v>
      </c>
      <c r="O362" s="174">
        <v>-55500</v>
      </c>
      <c r="P362" s="174">
        <f t="shared" si="65"/>
        <v>-56500</v>
      </c>
      <c r="Q362" s="175">
        <v>0</v>
      </c>
      <c r="R362" s="175">
        <v>0</v>
      </c>
      <c r="S362" s="175">
        <v>0</v>
      </c>
      <c r="T362" s="175">
        <v>0</v>
      </c>
      <c r="U362" s="175">
        <f t="shared" si="66"/>
        <v>0</v>
      </c>
      <c r="V362" s="175">
        <f t="shared" si="67"/>
        <v>50476.48000000001</v>
      </c>
      <c r="W362" s="174">
        <v>0</v>
      </c>
      <c r="X362" s="174">
        <f t="shared" si="68"/>
        <v>50476.48000000001</v>
      </c>
      <c r="Y362" s="175">
        <v>0</v>
      </c>
      <c r="Z362" s="174">
        <f t="shared" si="69"/>
        <v>50476.48000000001</v>
      </c>
    </row>
    <row r="363" spans="1:27" ht="12.75" collapsed="1">
      <c r="A363" s="212" t="s">
        <v>2165</v>
      </c>
      <c r="B363" s="213"/>
      <c r="C363" s="212" t="s">
        <v>2852</v>
      </c>
      <c r="D363" s="214"/>
      <c r="E363" s="193">
        <v>0</v>
      </c>
      <c r="F363" s="193">
        <v>-1905005.77</v>
      </c>
      <c r="G363" s="116">
        <f t="shared" si="63"/>
        <v>-1905005.77</v>
      </c>
      <c r="H363" s="116">
        <v>-414187.15</v>
      </c>
      <c r="I363" s="116">
        <v>-66202.22</v>
      </c>
      <c r="J363" s="116">
        <v>0</v>
      </c>
      <c r="K363" s="116">
        <v>129806.18</v>
      </c>
      <c r="L363" s="116">
        <f t="shared" si="64"/>
        <v>63603.95999999999</v>
      </c>
      <c r="M363" s="116">
        <v>10000</v>
      </c>
      <c r="N363" s="116">
        <v>317337.12</v>
      </c>
      <c r="O363" s="116">
        <v>-712749.18</v>
      </c>
      <c r="P363" s="116">
        <f t="shared" si="65"/>
        <v>-385412.06000000006</v>
      </c>
      <c r="Q363" s="116">
        <v>1877788.39</v>
      </c>
      <c r="R363" s="116">
        <v>1026230.93</v>
      </c>
      <c r="S363" s="116">
        <v>0</v>
      </c>
      <c r="T363" s="116">
        <v>0</v>
      </c>
      <c r="U363" s="116">
        <f t="shared" si="66"/>
        <v>2904019.32</v>
      </c>
      <c r="V363" s="116">
        <f t="shared" si="67"/>
        <v>263018.2999999998</v>
      </c>
      <c r="W363" s="116">
        <v>0</v>
      </c>
      <c r="X363" s="116">
        <f t="shared" si="68"/>
        <v>263018.2999999998</v>
      </c>
      <c r="Y363" s="116">
        <v>0</v>
      </c>
      <c r="Z363" s="116">
        <f t="shared" si="69"/>
        <v>263018.2999999998</v>
      </c>
      <c r="AA363" s="212"/>
    </row>
    <row r="364" spans="1:26" ht="12.75" hidden="1" outlineLevel="1">
      <c r="A364" s="174" t="s">
        <v>2166</v>
      </c>
      <c r="C364" s="175" t="s">
        <v>2167</v>
      </c>
      <c r="D364" s="175" t="s">
        <v>2168</v>
      </c>
      <c r="E364" s="174">
        <v>0</v>
      </c>
      <c r="F364" s="174">
        <v>165630.3</v>
      </c>
      <c r="G364" s="175">
        <f t="shared" si="63"/>
        <v>165630.3</v>
      </c>
      <c r="H364" s="174">
        <v>-162981.47</v>
      </c>
      <c r="I364" s="174">
        <v>0</v>
      </c>
      <c r="J364" s="174">
        <v>0</v>
      </c>
      <c r="K364" s="174">
        <v>-2648.83</v>
      </c>
      <c r="L364" s="174">
        <f t="shared" si="64"/>
        <v>-2648.83</v>
      </c>
      <c r="M364" s="174">
        <v>0</v>
      </c>
      <c r="N364" s="174">
        <v>416760.2</v>
      </c>
      <c r="O364" s="174">
        <v>-416760.2</v>
      </c>
      <c r="P364" s="174">
        <f t="shared" si="65"/>
        <v>0</v>
      </c>
      <c r="Q364" s="175">
        <v>17612.84</v>
      </c>
      <c r="R364" s="175">
        <v>-17612.84</v>
      </c>
      <c r="S364" s="175">
        <v>0</v>
      </c>
      <c r="T364" s="175">
        <v>0</v>
      </c>
      <c r="U364" s="175">
        <f t="shared" si="66"/>
        <v>0</v>
      </c>
      <c r="V364" s="175">
        <f t="shared" si="67"/>
        <v>-1.2732925824820995E-11</v>
      </c>
      <c r="W364" s="174">
        <v>0</v>
      </c>
      <c r="X364" s="174">
        <f t="shared" si="68"/>
        <v>-1.2732925824820995E-11</v>
      </c>
      <c r="Y364" s="175">
        <v>0</v>
      </c>
      <c r="Z364" s="174">
        <f t="shared" si="69"/>
        <v>-1.2732925824820995E-11</v>
      </c>
    </row>
    <row r="365" spans="1:26" ht="12.75" hidden="1" outlineLevel="1">
      <c r="A365" s="174" t="s">
        <v>2169</v>
      </c>
      <c r="C365" s="175" t="s">
        <v>2170</v>
      </c>
      <c r="D365" s="175" t="s">
        <v>2171</v>
      </c>
      <c r="E365" s="174">
        <v>0</v>
      </c>
      <c r="F365" s="174">
        <v>0</v>
      </c>
      <c r="G365" s="175">
        <f t="shared" si="63"/>
        <v>0</v>
      </c>
      <c r="H365" s="174">
        <v>0</v>
      </c>
      <c r="I365" s="174">
        <v>0</v>
      </c>
      <c r="J365" s="174">
        <v>0</v>
      </c>
      <c r="K365" s="174">
        <v>0</v>
      </c>
      <c r="L365" s="174">
        <f t="shared" si="64"/>
        <v>0</v>
      </c>
      <c r="M365" s="174">
        <v>0</v>
      </c>
      <c r="N365" s="174">
        <v>0</v>
      </c>
      <c r="O365" s="174">
        <v>0</v>
      </c>
      <c r="P365" s="174">
        <f t="shared" si="65"/>
        <v>0</v>
      </c>
      <c r="Q365" s="175">
        <v>4206601.3</v>
      </c>
      <c r="R365" s="175">
        <v>0</v>
      </c>
      <c r="S365" s="175">
        <v>306716.53</v>
      </c>
      <c r="T365" s="175">
        <v>0</v>
      </c>
      <c r="U365" s="175">
        <f t="shared" si="66"/>
        <v>4513317.83</v>
      </c>
      <c r="V365" s="175">
        <f t="shared" si="67"/>
        <v>4513317.83</v>
      </c>
      <c r="W365" s="174">
        <v>0</v>
      </c>
      <c r="X365" s="174">
        <f t="shared" si="68"/>
        <v>4513317.83</v>
      </c>
      <c r="Y365" s="175">
        <v>0</v>
      </c>
      <c r="Z365" s="174">
        <f t="shared" si="69"/>
        <v>4513317.83</v>
      </c>
    </row>
    <row r="366" spans="1:26" ht="12.75" hidden="1" outlineLevel="1">
      <c r="A366" s="174" t="s">
        <v>2172</v>
      </c>
      <c r="C366" s="175" t="s">
        <v>2173</v>
      </c>
      <c r="D366" s="175" t="s">
        <v>2174</v>
      </c>
      <c r="E366" s="174">
        <v>0</v>
      </c>
      <c r="F366" s="174">
        <v>412143.36</v>
      </c>
      <c r="G366" s="175">
        <f t="shared" si="63"/>
        <v>412143.36</v>
      </c>
      <c r="H366" s="174">
        <v>9079.93</v>
      </c>
      <c r="I366" s="174">
        <v>0</v>
      </c>
      <c r="J366" s="174">
        <v>0</v>
      </c>
      <c r="K366" s="174">
        <v>0</v>
      </c>
      <c r="L366" s="174">
        <f t="shared" si="64"/>
        <v>0</v>
      </c>
      <c r="M366" s="174">
        <v>0</v>
      </c>
      <c r="N366" s="174">
        <v>122331.77</v>
      </c>
      <c r="O366" s="174">
        <v>0</v>
      </c>
      <c r="P366" s="174">
        <f t="shared" si="65"/>
        <v>122331.77</v>
      </c>
      <c r="Q366" s="175">
        <v>0</v>
      </c>
      <c r="R366" s="175">
        <v>260000</v>
      </c>
      <c r="S366" s="175">
        <v>0</v>
      </c>
      <c r="T366" s="175">
        <v>0</v>
      </c>
      <c r="U366" s="175">
        <f t="shared" si="66"/>
        <v>260000</v>
      </c>
      <c r="V366" s="175">
        <f t="shared" si="67"/>
        <v>803555.0599999999</v>
      </c>
      <c r="W366" s="174">
        <v>0</v>
      </c>
      <c r="X366" s="174">
        <f t="shared" si="68"/>
        <v>803555.0599999999</v>
      </c>
      <c r="Y366" s="175">
        <v>0</v>
      </c>
      <c r="Z366" s="174">
        <f t="shared" si="69"/>
        <v>803555.0599999999</v>
      </c>
    </row>
    <row r="367" spans="1:26" ht="12.75" hidden="1" outlineLevel="1">
      <c r="A367" s="174" t="s">
        <v>2175</v>
      </c>
      <c r="C367" s="175" t="s">
        <v>2176</v>
      </c>
      <c r="D367" s="175" t="s">
        <v>2177</v>
      </c>
      <c r="E367" s="174">
        <v>0</v>
      </c>
      <c r="F367" s="174">
        <v>434626.67</v>
      </c>
      <c r="G367" s="175">
        <f t="shared" si="63"/>
        <v>434626.67</v>
      </c>
      <c r="H367" s="174">
        <v>0</v>
      </c>
      <c r="I367" s="174">
        <v>0</v>
      </c>
      <c r="J367" s="174">
        <v>0</v>
      </c>
      <c r="K367" s="174">
        <v>0</v>
      </c>
      <c r="L367" s="174">
        <f t="shared" si="64"/>
        <v>0</v>
      </c>
      <c r="M367" s="174">
        <v>0</v>
      </c>
      <c r="N367" s="174">
        <v>0</v>
      </c>
      <c r="O367" s="174">
        <v>0</v>
      </c>
      <c r="P367" s="174">
        <f t="shared" si="65"/>
        <v>0</v>
      </c>
      <c r="Q367" s="175">
        <v>0</v>
      </c>
      <c r="R367" s="175">
        <v>0</v>
      </c>
      <c r="S367" s="175">
        <v>0</v>
      </c>
      <c r="T367" s="175">
        <v>0</v>
      </c>
      <c r="U367" s="175">
        <f t="shared" si="66"/>
        <v>0</v>
      </c>
      <c r="V367" s="175">
        <f t="shared" si="67"/>
        <v>434626.67</v>
      </c>
      <c r="W367" s="174">
        <v>0</v>
      </c>
      <c r="X367" s="174">
        <f t="shared" si="68"/>
        <v>434626.67</v>
      </c>
      <c r="Y367" s="175">
        <v>0</v>
      </c>
      <c r="Z367" s="174">
        <f t="shared" si="69"/>
        <v>434626.67</v>
      </c>
    </row>
    <row r="368" spans="1:26" ht="12.75" hidden="1" outlineLevel="1">
      <c r="A368" s="174" t="s">
        <v>2178</v>
      </c>
      <c r="C368" s="175" t="s">
        <v>2179</v>
      </c>
      <c r="D368" s="175" t="s">
        <v>2180</v>
      </c>
      <c r="E368" s="174">
        <v>0</v>
      </c>
      <c r="F368" s="174">
        <v>-605434.69</v>
      </c>
      <c r="G368" s="175">
        <f t="shared" si="63"/>
        <v>-605434.69</v>
      </c>
      <c r="H368" s="174">
        <v>-3365</v>
      </c>
      <c r="I368" s="174">
        <v>0</v>
      </c>
      <c r="J368" s="174">
        <v>0</v>
      </c>
      <c r="K368" s="174">
        <v>-196489.15</v>
      </c>
      <c r="L368" s="174">
        <f t="shared" si="64"/>
        <v>-196489.15</v>
      </c>
      <c r="M368" s="174">
        <v>0</v>
      </c>
      <c r="N368" s="174">
        <v>-67891.97</v>
      </c>
      <c r="O368" s="174">
        <v>-54439.8</v>
      </c>
      <c r="P368" s="174">
        <f t="shared" si="65"/>
        <v>-122331.77</v>
      </c>
      <c r="Q368" s="175">
        <v>0</v>
      </c>
      <c r="R368" s="175">
        <v>-260000</v>
      </c>
      <c r="S368" s="175">
        <v>0</v>
      </c>
      <c r="T368" s="175">
        <v>0</v>
      </c>
      <c r="U368" s="175">
        <f t="shared" si="66"/>
        <v>-260000</v>
      </c>
      <c r="V368" s="175">
        <f t="shared" si="67"/>
        <v>-1187620.6099999999</v>
      </c>
      <c r="W368" s="174">
        <v>0</v>
      </c>
      <c r="X368" s="174">
        <f t="shared" si="68"/>
        <v>-1187620.6099999999</v>
      </c>
      <c r="Y368" s="175">
        <v>0</v>
      </c>
      <c r="Z368" s="174">
        <f t="shared" si="69"/>
        <v>-1187620.6099999999</v>
      </c>
    </row>
    <row r="369" spans="1:26" ht="12.75" hidden="1" outlineLevel="1">
      <c r="A369" s="174" t="s">
        <v>2181</v>
      </c>
      <c r="C369" s="175" t="s">
        <v>2182</v>
      </c>
      <c r="D369" s="175" t="s">
        <v>2183</v>
      </c>
      <c r="E369" s="174">
        <v>0</v>
      </c>
      <c r="F369" s="174">
        <v>-23728.83</v>
      </c>
      <c r="G369" s="175">
        <f t="shared" si="63"/>
        <v>-23728.83</v>
      </c>
      <c r="H369" s="174">
        <v>0</v>
      </c>
      <c r="I369" s="174">
        <v>0</v>
      </c>
      <c r="J369" s="174">
        <v>0</v>
      </c>
      <c r="K369" s="174">
        <v>0</v>
      </c>
      <c r="L369" s="174">
        <f t="shared" si="64"/>
        <v>0</v>
      </c>
      <c r="M369" s="174">
        <v>0</v>
      </c>
      <c r="N369" s="174">
        <v>0</v>
      </c>
      <c r="O369" s="174">
        <v>0</v>
      </c>
      <c r="P369" s="174">
        <f t="shared" si="65"/>
        <v>0</v>
      </c>
      <c r="Q369" s="175">
        <v>0</v>
      </c>
      <c r="R369" s="175">
        <v>0</v>
      </c>
      <c r="S369" s="175">
        <v>0</v>
      </c>
      <c r="T369" s="175">
        <v>0</v>
      </c>
      <c r="U369" s="175">
        <f t="shared" si="66"/>
        <v>0</v>
      </c>
      <c r="V369" s="175">
        <f t="shared" si="67"/>
        <v>-23728.83</v>
      </c>
      <c r="W369" s="174">
        <v>0</v>
      </c>
      <c r="X369" s="174">
        <f t="shared" si="68"/>
        <v>-23728.83</v>
      </c>
      <c r="Y369" s="175">
        <v>0</v>
      </c>
      <c r="Z369" s="174">
        <f t="shared" si="69"/>
        <v>-23728.83</v>
      </c>
    </row>
    <row r="370" spans="1:26" ht="12.75" hidden="1" outlineLevel="1">
      <c r="A370" s="174" t="s">
        <v>2184</v>
      </c>
      <c r="C370" s="175" t="s">
        <v>2185</v>
      </c>
      <c r="D370" s="175" t="s">
        <v>2186</v>
      </c>
      <c r="E370" s="174">
        <v>0</v>
      </c>
      <c r="F370" s="174">
        <v>-121001.13</v>
      </c>
      <c r="G370" s="175">
        <f t="shared" si="63"/>
        <v>-121001.13</v>
      </c>
      <c r="H370" s="174">
        <v>121001.13</v>
      </c>
      <c r="I370" s="174">
        <v>0</v>
      </c>
      <c r="J370" s="174">
        <v>0</v>
      </c>
      <c r="K370" s="174">
        <v>0</v>
      </c>
      <c r="L370" s="174">
        <f t="shared" si="64"/>
        <v>0</v>
      </c>
      <c r="M370" s="174">
        <v>0</v>
      </c>
      <c r="N370" s="174">
        <v>0</v>
      </c>
      <c r="O370" s="174">
        <v>0</v>
      </c>
      <c r="P370" s="174">
        <f t="shared" si="65"/>
        <v>0</v>
      </c>
      <c r="Q370" s="175">
        <v>0</v>
      </c>
      <c r="R370" s="175">
        <v>0</v>
      </c>
      <c r="S370" s="175">
        <v>0</v>
      </c>
      <c r="T370" s="175">
        <v>0</v>
      </c>
      <c r="U370" s="175">
        <f t="shared" si="66"/>
        <v>0</v>
      </c>
      <c r="V370" s="175">
        <f t="shared" si="67"/>
        <v>0</v>
      </c>
      <c r="W370" s="174">
        <v>0</v>
      </c>
      <c r="X370" s="174">
        <f t="shared" si="68"/>
        <v>0</v>
      </c>
      <c r="Y370" s="175">
        <v>0</v>
      </c>
      <c r="Z370" s="174">
        <f t="shared" si="69"/>
        <v>0</v>
      </c>
    </row>
    <row r="371" spans="1:26" ht="12.75" hidden="1" outlineLevel="1">
      <c r="A371" s="174" t="s">
        <v>2187</v>
      </c>
      <c r="C371" s="175" t="s">
        <v>2188</v>
      </c>
      <c r="D371" s="175" t="s">
        <v>2189</v>
      </c>
      <c r="E371" s="174">
        <v>0</v>
      </c>
      <c r="F371" s="174">
        <v>0</v>
      </c>
      <c r="G371" s="175">
        <f t="shared" si="63"/>
        <v>0</v>
      </c>
      <c r="H371" s="174">
        <v>-430126.67</v>
      </c>
      <c r="I371" s="174">
        <v>0</v>
      </c>
      <c r="J371" s="174">
        <v>0</v>
      </c>
      <c r="K371" s="174">
        <v>0</v>
      </c>
      <c r="L371" s="174">
        <f t="shared" si="64"/>
        <v>0</v>
      </c>
      <c r="M371" s="174">
        <v>0</v>
      </c>
      <c r="N371" s="174">
        <v>0</v>
      </c>
      <c r="O371" s="174">
        <v>0</v>
      </c>
      <c r="P371" s="174">
        <f t="shared" si="65"/>
        <v>0</v>
      </c>
      <c r="Q371" s="175">
        <v>0</v>
      </c>
      <c r="R371" s="175">
        <v>0</v>
      </c>
      <c r="S371" s="175">
        <v>0</v>
      </c>
      <c r="T371" s="175">
        <v>0</v>
      </c>
      <c r="U371" s="175">
        <f t="shared" si="66"/>
        <v>0</v>
      </c>
      <c r="V371" s="175">
        <f t="shared" si="67"/>
        <v>-430126.67</v>
      </c>
      <c r="W371" s="174">
        <v>0</v>
      </c>
      <c r="X371" s="174">
        <f t="shared" si="68"/>
        <v>-430126.67</v>
      </c>
      <c r="Y371" s="175">
        <v>0</v>
      </c>
      <c r="Z371" s="174">
        <f t="shared" si="69"/>
        <v>-430126.67</v>
      </c>
    </row>
    <row r="372" spans="1:27" ht="12.75" collapsed="1">
      <c r="A372" s="175" t="s">
        <v>2190</v>
      </c>
      <c r="B372" s="213"/>
      <c r="C372" s="212" t="s">
        <v>2853</v>
      </c>
      <c r="D372" s="214"/>
      <c r="E372" s="193">
        <v>0</v>
      </c>
      <c r="F372" s="193">
        <v>262235.68</v>
      </c>
      <c r="G372" s="116">
        <f t="shared" si="63"/>
        <v>262235.68</v>
      </c>
      <c r="H372" s="116">
        <v>-466392.08</v>
      </c>
      <c r="I372" s="116">
        <v>0</v>
      </c>
      <c r="J372" s="116">
        <v>0</v>
      </c>
      <c r="K372" s="116">
        <v>-199137.98</v>
      </c>
      <c r="L372" s="116">
        <f t="shared" si="64"/>
        <v>-199137.98</v>
      </c>
      <c r="M372" s="116">
        <v>0</v>
      </c>
      <c r="N372" s="116">
        <v>471200</v>
      </c>
      <c r="O372" s="116">
        <v>-471200</v>
      </c>
      <c r="P372" s="116">
        <f t="shared" si="65"/>
        <v>0</v>
      </c>
      <c r="Q372" s="116">
        <v>4224214.14</v>
      </c>
      <c r="R372" s="116">
        <v>-17612.84</v>
      </c>
      <c r="S372" s="116">
        <v>306716.53</v>
      </c>
      <c r="T372" s="116">
        <v>0</v>
      </c>
      <c r="U372" s="116">
        <f t="shared" si="66"/>
        <v>4513317.83</v>
      </c>
      <c r="V372" s="116">
        <f t="shared" si="67"/>
        <v>4110023.45</v>
      </c>
      <c r="W372" s="116">
        <v>0</v>
      </c>
      <c r="X372" s="116">
        <f t="shared" si="68"/>
        <v>4110023.45</v>
      </c>
      <c r="Y372" s="116">
        <v>0</v>
      </c>
      <c r="Z372" s="116">
        <f t="shared" si="69"/>
        <v>4110023.45</v>
      </c>
      <c r="AA372" s="175"/>
    </row>
    <row r="373" spans="1:27" ht="12.75">
      <c r="A373" s="175" t="s">
        <v>2191</v>
      </c>
      <c r="B373" s="213"/>
      <c r="C373" s="212" t="s">
        <v>2192</v>
      </c>
      <c r="D373" s="214"/>
      <c r="E373" s="193">
        <v>0</v>
      </c>
      <c r="F373" s="193">
        <v>0</v>
      </c>
      <c r="G373" s="116">
        <f t="shared" si="63"/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f t="shared" si="64"/>
        <v>0</v>
      </c>
      <c r="M373" s="116">
        <v>0</v>
      </c>
      <c r="N373" s="116">
        <v>0</v>
      </c>
      <c r="O373" s="116">
        <v>0</v>
      </c>
      <c r="P373" s="116">
        <f t="shared" si="65"/>
        <v>0</v>
      </c>
      <c r="Q373" s="116">
        <v>0</v>
      </c>
      <c r="R373" s="116">
        <v>0</v>
      </c>
      <c r="S373" s="116">
        <v>0</v>
      </c>
      <c r="T373" s="116">
        <v>0</v>
      </c>
      <c r="U373" s="116">
        <f t="shared" si="66"/>
        <v>0</v>
      </c>
      <c r="V373" s="116">
        <f t="shared" si="67"/>
        <v>0</v>
      </c>
      <c r="W373" s="116">
        <v>0</v>
      </c>
      <c r="X373" s="116">
        <f t="shared" si="68"/>
        <v>0</v>
      </c>
      <c r="Y373" s="116">
        <v>0</v>
      </c>
      <c r="Z373" s="116">
        <f t="shared" si="69"/>
        <v>0</v>
      </c>
      <c r="AA373" s="175"/>
    </row>
    <row r="374" spans="1:27" ht="15">
      <c r="A374" s="210"/>
      <c r="B374" s="213"/>
      <c r="C374" s="212"/>
      <c r="D374" s="214"/>
      <c r="E374" s="193"/>
      <c r="F374" s="193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210"/>
    </row>
    <row r="375" spans="1:27" s="222" customFormat="1" ht="15.75">
      <c r="A375" s="216"/>
      <c r="B375" s="217"/>
      <c r="C375" s="218" t="s">
        <v>2193</v>
      </c>
      <c r="D375" s="74"/>
      <c r="E375" s="155">
        <f aca="true" t="shared" si="70" ref="E375:Z375">E346+E354+E363+E372+E373</f>
        <v>-987.74</v>
      </c>
      <c r="F375" s="155">
        <f t="shared" si="70"/>
        <v>-3214780.36</v>
      </c>
      <c r="G375" s="117">
        <f t="shared" si="70"/>
        <v>-3215768.1</v>
      </c>
      <c r="H375" s="117">
        <f t="shared" si="70"/>
        <v>8425531.969999999</v>
      </c>
      <c r="I375" s="117">
        <f t="shared" si="70"/>
        <v>-63346.66</v>
      </c>
      <c r="J375" s="117">
        <f t="shared" si="70"/>
        <v>0</v>
      </c>
      <c r="K375" s="117">
        <f t="shared" si="70"/>
        <v>109804.01999999999</v>
      </c>
      <c r="L375" s="117">
        <f t="shared" si="70"/>
        <v>46457.35999999996</v>
      </c>
      <c r="M375" s="117">
        <f t="shared" si="70"/>
        <v>11277.55</v>
      </c>
      <c r="N375" s="117">
        <f t="shared" si="70"/>
        <v>10064622.61</v>
      </c>
      <c r="O375" s="117">
        <f t="shared" si="70"/>
        <v>73198.87</v>
      </c>
      <c r="P375" s="117">
        <f t="shared" si="70"/>
        <v>10149099.03</v>
      </c>
      <c r="Q375" s="117">
        <f t="shared" si="70"/>
        <v>6722361.5</v>
      </c>
      <c r="R375" s="117">
        <f t="shared" si="70"/>
        <v>3244667.1700000004</v>
      </c>
      <c r="S375" s="117">
        <f t="shared" si="70"/>
        <v>-105976.42999999993</v>
      </c>
      <c r="T375" s="117">
        <f t="shared" si="70"/>
        <v>663531.44</v>
      </c>
      <c r="U375" s="117">
        <f t="shared" si="70"/>
        <v>10524583.68</v>
      </c>
      <c r="V375" s="117">
        <f t="shared" si="70"/>
        <v>25929903.939999998</v>
      </c>
      <c r="W375" s="117">
        <f t="shared" si="70"/>
        <v>0</v>
      </c>
      <c r="X375" s="117">
        <f t="shared" si="70"/>
        <v>25929903.939999998</v>
      </c>
      <c r="Y375" s="117">
        <f t="shared" si="70"/>
        <v>1942347.58</v>
      </c>
      <c r="Z375" s="117">
        <f t="shared" si="70"/>
        <v>27872251.52</v>
      </c>
      <c r="AA375" s="216"/>
    </row>
    <row r="376" spans="1:27" ht="15">
      <c r="A376" s="210"/>
      <c r="B376" s="213"/>
      <c r="C376" s="218"/>
      <c r="D376" s="214"/>
      <c r="E376" s="193"/>
      <c r="F376" s="193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210"/>
    </row>
    <row r="377" spans="1:27" ht="15.75">
      <c r="A377" s="219"/>
      <c r="B377" s="217"/>
      <c r="C377" s="218" t="s">
        <v>2194</v>
      </c>
      <c r="D377" s="74"/>
      <c r="E377" s="155">
        <f aca="true" t="shared" si="71" ref="E377:Z377">E375+E309</f>
        <v>3298.5840000000007</v>
      </c>
      <c r="F377" s="155">
        <f t="shared" si="71"/>
        <v>-858242.2679999848</v>
      </c>
      <c r="G377" s="155">
        <f t="shared" si="71"/>
        <v>-854943.6839999841</v>
      </c>
      <c r="H377" s="155">
        <f t="shared" si="71"/>
        <v>457891.6599999927</v>
      </c>
      <c r="I377" s="155">
        <f t="shared" si="71"/>
        <v>-65806.84</v>
      </c>
      <c r="J377" s="155">
        <f t="shared" si="71"/>
        <v>0</v>
      </c>
      <c r="K377" s="155">
        <f t="shared" si="71"/>
        <v>-485412.8300000001</v>
      </c>
      <c r="L377" s="155">
        <f t="shared" si="71"/>
        <v>-551219.6700000002</v>
      </c>
      <c r="M377" s="155">
        <f t="shared" si="71"/>
        <v>11277.55</v>
      </c>
      <c r="N377" s="155">
        <f t="shared" si="71"/>
        <v>10061657.7</v>
      </c>
      <c r="O377" s="155">
        <f t="shared" si="71"/>
        <v>66729.09999999999</v>
      </c>
      <c r="P377" s="117">
        <f t="shared" si="71"/>
        <v>10139664.35</v>
      </c>
      <c r="Q377" s="117">
        <f t="shared" si="71"/>
        <v>3600481.19</v>
      </c>
      <c r="R377" s="117">
        <f t="shared" si="71"/>
        <v>-2592470.769999999</v>
      </c>
      <c r="S377" s="117">
        <f t="shared" si="71"/>
        <v>-105976.42999999993</v>
      </c>
      <c r="T377" s="117">
        <f t="shared" si="71"/>
        <v>8251887.120000001</v>
      </c>
      <c r="U377" s="117">
        <f t="shared" si="71"/>
        <v>9153921.110000001</v>
      </c>
      <c r="V377" s="117">
        <f t="shared" si="71"/>
        <v>18345313.765999988</v>
      </c>
      <c r="W377" s="117">
        <f t="shared" si="71"/>
        <v>0</v>
      </c>
      <c r="X377" s="117">
        <f t="shared" si="71"/>
        <v>18345313.765999988</v>
      </c>
      <c r="Y377" s="117">
        <f t="shared" si="71"/>
        <v>-133719.33999999985</v>
      </c>
      <c r="Z377" s="117">
        <f t="shared" si="71"/>
        <v>18211594.426000018</v>
      </c>
      <c r="AA377" s="224"/>
    </row>
    <row r="378" spans="1:27" ht="15">
      <c r="A378" s="210"/>
      <c r="B378" s="213"/>
      <c r="C378" s="212"/>
      <c r="D378" s="214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210"/>
    </row>
    <row r="379" spans="1:26" ht="12.75" hidden="1" outlineLevel="1">
      <c r="A379" s="174" t="s">
        <v>2195</v>
      </c>
      <c r="C379" s="175" t="s">
        <v>2196</v>
      </c>
      <c r="D379" s="175" t="s">
        <v>2197</v>
      </c>
      <c r="E379" s="174">
        <v>-3373.714</v>
      </c>
      <c r="F379" s="174">
        <v>19381038.878</v>
      </c>
      <c r="G379" s="175">
        <f>E379+F379</f>
        <v>19377665.163999997</v>
      </c>
      <c r="H379" s="174">
        <v>14385866.580000002</v>
      </c>
      <c r="I379" s="174">
        <v>97115.59</v>
      </c>
      <c r="J379" s="174">
        <v>0</v>
      </c>
      <c r="K379" s="174">
        <v>11845836.35</v>
      </c>
      <c r="L379" s="174">
        <f>J379+I379+K379</f>
        <v>11942951.94</v>
      </c>
      <c r="M379" s="174">
        <v>10040.6</v>
      </c>
      <c r="N379" s="174">
        <v>63563297.9</v>
      </c>
      <c r="O379" s="174">
        <v>16838765.509999998</v>
      </c>
      <c r="P379" s="174">
        <f>M379+N379+O379</f>
        <v>80412104.00999999</v>
      </c>
      <c r="Q379" s="175">
        <v>1828849.44</v>
      </c>
      <c r="R379" s="175">
        <v>2293341.48</v>
      </c>
      <c r="S379" s="175">
        <v>-201005.52</v>
      </c>
      <c r="T379" s="175">
        <v>123438883.27</v>
      </c>
      <c r="U379" s="175">
        <f>Q379+R379+S379+T379</f>
        <v>127360068.67</v>
      </c>
      <c r="V379" s="175">
        <f>G379+H379+L379+P379+U379</f>
        <v>253478656.364</v>
      </c>
      <c r="W379" s="174">
        <v>0</v>
      </c>
      <c r="X379" s="174">
        <f>V379+W379</f>
        <v>253478656.364</v>
      </c>
      <c r="Y379" s="175">
        <v>390909.86</v>
      </c>
      <c r="Z379" s="174">
        <f>X379+Y379</f>
        <v>253869566.224</v>
      </c>
    </row>
    <row r="380" spans="1:27" ht="15.75" collapsed="1">
      <c r="A380" s="216" t="s">
        <v>2198</v>
      </c>
      <c r="B380" s="217" t="s">
        <v>2854</v>
      </c>
      <c r="D380" s="74"/>
      <c r="E380" s="155">
        <v>-3373.714</v>
      </c>
      <c r="F380" s="155">
        <v>19381038.878</v>
      </c>
      <c r="G380" s="155">
        <f>E380+F380</f>
        <v>19377665.163999997</v>
      </c>
      <c r="H380" s="155">
        <v>14385866.580000002</v>
      </c>
      <c r="I380" s="155">
        <v>97115.59</v>
      </c>
      <c r="J380" s="155">
        <v>0</v>
      </c>
      <c r="K380" s="155">
        <v>11845836.35</v>
      </c>
      <c r="L380" s="155">
        <f>J380+I380+K380</f>
        <v>11942951.94</v>
      </c>
      <c r="M380" s="155">
        <v>10040.6</v>
      </c>
      <c r="N380" s="155">
        <v>63563297.9</v>
      </c>
      <c r="O380" s="155">
        <v>16838765.509999998</v>
      </c>
      <c r="P380" s="117">
        <f>M380+N380+O380</f>
        <v>80412104.00999999</v>
      </c>
      <c r="Q380" s="117">
        <v>1828849.44</v>
      </c>
      <c r="R380" s="117">
        <v>2293341.48</v>
      </c>
      <c r="S380" s="117">
        <v>-201005.52</v>
      </c>
      <c r="T380" s="117">
        <v>123438883.27</v>
      </c>
      <c r="U380" s="117">
        <f>Q380+R380+S380+T380</f>
        <v>127360068.67</v>
      </c>
      <c r="V380" s="117">
        <f>G380+H380+L380+P380+U380</f>
        <v>253478656.364</v>
      </c>
      <c r="W380" s="117">
        <v>0</v>
      </c>
      <c r="X380" s="117">
        <f>V380+W380</f>
        <v>253478656.364</v>
      </c>
      <c r="Y380" s="117">
        <v>390909.86</v>
      </c>
      <c r="Z380" s="117">
        <f>X380+Y380</f>
        <v>253869566.224</v>
      </c>
      <c r="AA380" s="216"/>
    </row>
    <row r="381" spans="1:27" ht="15.75">
      <c r="A381" s="216"/>
      <c r="B381" s="213"/>
      <c r="C381" s="218"/>
      <c r="D381" s="74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216"/>
    </row>
    <row r="382" spans="1:27" ht="16.5" customHeight="1" hidden="1">
      <c r="A382" s="216" t="s">
        <v>2199</v>
      </c>
      <c r="B382" s="213"/>
      <c r="C382" s="218" t="s">
        <v>2200</v>
      </c>
      <c r="D382" s="74"/>
      <c r="E382" s="155">
        <v>0</v>
      </c>
      <c r="F382" s="155">
        <v>0</v>
      </c>
      <c r="G382" s="155">
        <f>E382+F382</f>
        <v>0</v>
      </c>
      <c r="H382" s="155">
        <v>0</v>
      </c>
      <c r="I382" s="155">
        <v>0</v>
      </c>
      <c r="J382" s="155">
        <v>0</v>
      </c>
      <c r="K382" s="155">
        <v>0</v>
      </c>
      <c r="L382" s="155">
        <f>J382+I382+K382</f>
        <v>0</v>
      </c>
      <c r="M382" s="155">
        <v>0</v>
      </c>
      <c r="N382" s="155">
        <v>0</v>
      </c>
      <c r="O382" s="155">
        <v>0</v>
      </c>
      <c r="P382" s="117">
        <f>M382+N382+O382</f>
        <v>0</v>
      </c>
      <c r="Q382" s="117">
        <v>0</v>
      </c>
      <c r="R382" s="117">
        <v>0</v>
      </c>
      <c r="S382" s="117">
        <v>0</v>
      </c>
      <c r="T382" s="117">
        <v>0</v>
      </c>
      <c r="U382" s="117">
        <f>Q382+R382+S382+T382</f>
        <v>0</v>
      </c>
      <c r="V382" s="117">
        <f>G382+H382+L382+P382+U382</f>
        <v>0</v>
      </c>
      <c r="W382" s="117">
        <v>0</v>
      </c>
      <c r="X382" s="117">
        <f>V382+W382</f>
        <v>0</v>
      </c>
      <c r="Y382" s="117">
        <v>0</v>
      </c>
      <c r="Z382" s="117">
        <f>X382+Y382</f>
        <v>0</v>
      </c>
      <c r="AA382" s="216"/>
    </row>
    <row r="383" spans="1:27" s="226" customFormat="1" ht="15.75" hidden="1">
      <c r="A383" s="225" t="s">
        <v>2201</v>
      </c>
      <c r="B383" s="217"/>
      <c r="C383" s="218" t="s">
        <v>2202</v>
      </c>
      <c r="D383" s="74"/>
      <c r="E383" s="155">
        <v>0</v>
      </c>
      <c r="F383" s="155">
        <v>0</v>
      </c>
      <c r="G383" s="155">
        <f>E383+F383</f>
        <v>0</v>
      </c>
      <c r="H383" s="155">
        <v>0</v>
      </c>
      <c r="I383" s="155">
        <v>0</v>
      </c>
      <c r="J383" s="155">
        <v>0</v>
      </c>
      <c r="K383" s="155">
        <v>0</v>
      </c>
      <c r="L383" s="155">
        <f>J383+I383+K383</f>
        <v>0</v>
      </c>
      <c r="M383" s="155">
        <v>0</v>
      </c>
      <c r="N383" s="155">
        <v>0</v>
      </c>
      <c r="O383" s="155">
        <v>0</v>
      </c>
      <c r="P383" s="117">
        <f>M383+N383+O383</f>
        <v>0</v>
      </c>
      <c r="Q383" s="117">
        <v>0</v>
      </c>
      <c r="R383" s="117">
        <v>0</v>
      </c>
      <c r="S383" s="117">
        <v>0</v>
      </c>
      <c r="T383" s="117">
        <v>0</v>
      </c>
      <c r="U383" s="117">
        <f>Q383+R383+S383+T383</f>
        <v>0</v>
      </c>
      <c r="V383" s="117">
        <f>G383+H383+L383+P383+U383</f>
        <v>0</v>
      </c>
      <c r="W383" s="117">
        <v>0</v>
      </c>
      <c r="X383" s="117">
        <f>V383+W383</f>
        <v>0</v>
      </c>
      <c r="Y383" s="117">
        <v>0</v>
      </c>
      <c r="Z383" s="117">
        <f>X383+Y383</f>
        <v>0</v>
      </c>
      <c r="AA383" s="225"/>
    </row>
    <row r="384" spans="1:27" ht="15.75" hidden="1">
      <c r="A384" s="216"/>
      <c r="B384" s="213"/>
      <c r="C384" s="218"/>
      <c r="D384" s="74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216"/>
    </row>
    <row r="385" spans="1:27" ht="15.75" hidden="1">
      <c r="A385" s="216"/>
      <c r="B385" s="213"/>
      <c r="C385" s="218" t="s">
        <v>2203</v>
      </c>
      <c r="D385" s="74"/>
      <c r="E385" s="155">
        <f aca="true" t="shared" si="72" ref="E385:Z385">E380-E382-E383</f>
        <v>-3373.714</v>
      </c>
      <c r="F385" s="155">
        <f t="shared" si="72"/>
        <v>19381038.878</v>
      </c>
      <c r="G385" s="155">
        <f t="shared" si="72"/>
        <v>19377665.163999997</v>
      </c>
      <c r="H385" s="155">
        <f t="shared" si="72"/>
        <v>14385866.580000002</v>
      </c>
      <c r="I385" s="155">
        <f t="shared" si="72"/>
        <v>97115.59</v>
      </c>
      <c r="J385" s="155">
        <f t="shared" si="72"/>
        <v>0</v>
      </c>
      <c r="K385" s="155">
        <f t="shared" si="72"/>
        <v>11845836.35</v>
      </c>
      <c r="L385" s="155">
        <f t="shared" si="72"/>
        <v>11942951.94</v>
      </c>
      <c r="M385" s="155">
        <f t="shared" si="72"/>
        <v>10040.6</v>
      </c>
      <c r="N385" s="155">
        <f t="shared" si="72"/>
        <v>63563297.9</v>
      </c>
      <c r="O385" s="155">
        <f t="shared" si="72"/>
        <v>16838765.509999998</v>
      </c>
      <c r="P385" s="117">
        <f t="shared" si="72"/>
        <v>80412104.00999999</v>
      </c>
      <c r="Q385" s="117">
        <f t="shared" si="72"/>
        <v>1828849.44</v>
      </c>
      <c r="R385" s="117">
        <f t="shared" si="72"/>
        <v>2293341.48</v>
      </c>
      <c r="S385" s="117">
        <f t="shared" si="72"/>
        <v>-201005.52</v>
      </c>
      <c r="T385" s="117">
        <f t="shared" si="72"/>
        <v>123438883.27</v>
      </c>
      <c r="U385" s="117">
        <f t="shared" si="72"/>
        <v>127360068.67</v>
      </c>
      <c r="V385" s="117">
        <f t="shared" si="72"/>
        <v>253478656.364</v>
      </c>
      <c r="W385" s="117">
        <f t="shared" si="72"/>
        <v>0</v>
      </c>
      <c r="X385" s="117">
        <f t="shared" si="72"/>
        <v>253478656.364</v>
      </c>
      <c r="Y385" s="117">
        <f t="shared" si="72"/>
        <v>390909.86</v>
      </c>
      <c r="Z385" s="117">
        <f t="shared" si="72"/>
        <v>253869566.224</v>
      </c>
      <c r="AA385" s="216"/>
    </row>
    <row r="386" spans="1:27" ht="15" hidden="1">
      <c r="A386" s="210"/>
      <c r="B386" s="213"/>
      <c r="C386" s="212"/>
      <c r="D386" s="214"/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210"/>
    </row>
    <row r="387" spans="1:27" ht="15.75">
      <c r="A387" s="216"/>
      <c r="B387" s="217" t="s">
        <v>2855</v>
      </c>
      <c r="C387" s="212"/>
      <c r="D387" s="74"/>
      <c r="E387" s="155">
        <f aca="true" t="shared" si="73" ref="E387:Z387">E377+E385</f>
        <v>-75.1299999999992</v>
      </c>
      <c r="F387" s="155">
        <f t="shared" si="73"/>
        <v>18522796.610000014</v>
      </c>
      <c r="G387" s="227">
        <f t="shared" si="73"/>
        <v>18522721.48000001</v>
      </c>
      <c r="H387" s="227">
        <f t="shared" si="73"/>
        <v>14843758.239999995</v>
      </c>
      <c r="I387" s="227">
        <f t="shared" si="73"/>
        <v>31308.75</v>
      </c>
      <c r="J387" s="227">
        <f t="shared" si="73"/>
        <v>0</v>
      </c>
      <c r="K387" s="227">
        <f t="shared" si="73"/>
        <v>11360423.52</v>
      </c>
      <c r="L387" s="227">
        <f t="shared" si="73"/>
        <v>11391732.27</v>
      </c>
      <c r="M387" s="227">
        <f t="shared" si="73"/>
        <v>21318.15</v>
      </c>
      <c r="N387" s="227">
        <f t="shared" si="73"/>
        <v>73624955.6</v>
      </c>
      <c r="O387" s="227">
        <f t="shared" si="73"/>
        <v>16905494.61</v>
      </c>
      <c r="P387" s="227">
        <f t="shared" si="73"/>
        <v>90551768.35999998</v>
      </c>
      <c r="Q387" s="227">
        <f t="shared" si="73"/>
        <v>5429330.63</v>
      </c>
      <c r="R387" s="227">
        <f t="shared" si="73"/>
        <v>-299129.2899999991</v>
      </c>
      <c r="S387" s="227">
        <f t="shared" si="73"/>
        <v>-306981.94999999995</v>
      </c>
      <c r="T387" s="227">
        <f t="shared" si="73"/>
        <v>131690770.39</v>
      </c>
      <c r="U387" s="227">
        <f t="shared" si="73"/>
        <v>136513989.78</v>
      </c>
      <c r="V387" s="227">
        <f t="shared" si="73"/>
        <v>271823970.13</v>
      </c>
      <c r="W387" s="227">
        <f t="shared" si="73"/>
        <v>0</v>
      </c>
      <c r="X387" s="227">
        <f t="shared" si="73"/>
        <v>271823970.13</v>
      </c>
      <c r="Y387" s="227">
        <f t="shared" si="73"/>
        <v>257190.52000000014</v>
      </c>
      <c r="Z387" s="227">
        <f t="shared" si="73"/>
        <v>272081160.65000004</v>
      </c>
      <c r="AA387" s="216"/>
    </row>
    <row r="388" spans="5:25" ht="12.75">
      <c r="E388" s="228"/>
      <c r="F388" s="228"/>
      <c r="G388" s="174"/>
      <c r="U388" s="174"/>
      <c r="V388" s="174"/>
      <c r="Y388" s="174"/>
    </row>
    <row r="389" spans="5:25" ht="12.75">
      <c r="E389" s="228"/>
      <c r="F389" s="228"/>
      <c r="G389" s="174"/>
      <c r="U389" s="174"/>
      <c r="V389" s="174"/>
      <c r="Y389" s="174"/>
    </row>
    <row r="390" spans="5:25" ht="12.75">
      <c r="E390" s="228"/>
      <c r="F390" s="228"/>
      <c r="G390" s="174"/>
      <c r="I390" s="228"/>
      <c r="J390" s="228"/>
      <c r="K390" s="228"/>
      <c r="M390" s="228"/>
      <c r="N390" s="228"/>
      <c r="O390" s="228"/>
      <c r="Q390" s="228"/>
      <c r="R390" s="228"/>
      <c r="S390" s="228"/>
      <c r="T390" s="228"/>
      <c r="U390" s="174"/>
      <c r="V390" s="174"/>
      <c r="Y390" s="174"/>
    </row>
    <row r="391" spans="5:25" ht="12.75">
      <c r="E391" s="228"/>
      <c r="F391" s="228"/>
      <c r="G391" s="174"/>
      <c r="I391" s="228"/>
      <c r="J391" s="228"/>
      <c r="K391" s="228"/>
      <c r="M391" s="228"/>
      <c r="N391" s="228"/>
      <c r="O391" s="228"/>
      <c r="Q391" s="228"/>
      <c r="R391" s="228"/>
      <c r="S391" s="228"/>
      <c r="T391" s="228"/>
      <c r="U391" s="174"/>
      <c r="V391" s="174"/>
      <c r="Y391" s="174"/>
    </row>
    <row r="392" spans="5:25" ht="12.75">
      <c r="E392" s="228"/>
      <c r="F392" s="228"/>
      <c r="G392" s="174"/>
      <c r="I392" s="228"/>
      <c r="J392" s="228"/>
      <c r="K392" s="228"/>
      <c r="M392" s="228"/>
      <c r="N392" s="228"/>
      <c r="O392" s="228"/>
      <c r="Q392" s="228"/>
      <c r="R392" s="228"/>
      <c r="S392" s="228"/>
      <c r="T392" s="228"/>
      <c r="U392" s="174"/>
      <c r="V392" s="174"/>
      <c r="Y392" s="174"/>
    </row>
    <row r="393" spans="5:25" ht="12.75">
      <c r="E393" s="228"/>
      <c r="F393" s="228"/>
      <c r="G393" s="174"/>
      <c r="I393" s="228"/>
      <c r="J393" s="228"/>
      <c r="K393" s="228"/>
      <c r="M393" s="228"/>
      <c r="N393" s="228"/>
      <c r="O393" s="228"/>
      <c r="Q393" s="228"/>
      <c r="R393" s="228"/>
      <c r="S393" s="228"/>
      <c r="T393" s="228"/>
      <c r="U393" s="174"/>
      <c r="V393" s="174"/>
      <c r="Y393" s="174"/>
    </row>
    <row r="394" spans="5:25" ht="12.75">
      <c r="E394" s="228"/>
      <c r="F394" s="228"/>
      <c r="G394" s="174"/>
      <c r="I394" s="228"/>
      <c r="J394" s="228"/>
      <c r="K394" s="228"/>
      <c r="M394" s="228"/>
      <c r="N394" s="228"/>
      <c r="O394" s="228"/>
      <c r="Q394" s="228"/>
      <c r="R394" s="228"/>
      <c r="S394" s="228"/>
      <c r="T394" s="228"/>
      <c r="U394" s="174"/>
      <c r="V394" s="174"/>
      <c r="Y394" s="174"/>
    </row>
    <row r="395" spans="5:25" ht="12.75">
      <c r="E395" s="228"/>
      <c r="F395" s="228"/>
      <c r="G395" s="174"/>
      <c r="I395" s="228"/>
      <c r="J395" s="228"/>
      <c r="K395" s="228"/>
      <c r="M395" s="228"/>
      <c r="N395" s="228"/>
      <c r="O395" s="228"/>
      <c r="Q395" s="228"/>
      <c r="R395" s="228"/>
      <c r="S395" s="228"/>
      <c r="T395" s="228"/>
      <c r="U395" s="174"/>
      <c r="V395" s="174"/>
      <c r="Y395" s="174"/>
    </row>
    <row r="396" spans="5:25" ht="12.75">
      <c r="E396" s="228"/>
      <c r="F396" s="228"/>
      <c r="G396" s="174"/>
      <c r="I396" s="228"/>
      <c r="J396" s="228"/>
      <c r="K396" s="228"/>
      <c r="M396" s="228"/>
      <c r="N396" s="228"/>
      <c r="O396" s="228"/>
      <c r="Q396" s="228"/>
      <c r="R396" s="228"/>
      <c r="S396" s="228"/>
      <c r="T396" s="228"/>
      <c r="U396" s="174"/>
      <c r="V396" s="174"/>
      <c r="Y396" s="174"/>
    </row>
    <row r="397" spans="5:25" ht="12.75">
      <c r="E397" s="228"/>
      <c r="F397" s="228"/>
      <c r="G397" s="174"/>
      <c r="I397" s="228"/>
      <c r="J397" s="228"/>
      <c r="K397" s="228"/>
      <c r="M397" s="228"/>
      <c r="N397" s="228"/>
      <c r="O397" s="228"/>
      <c r="Q397" s="228"/>
      <c r="R397" s="228"/>
      <c r="S397" s="228"/>
      <c r="T397" s="228"/>
      <c r="U397" s="174"/>
      <c r="V397" s="174"/>
      <c r="Y397" s="174"/>
    </row>
    <row r="398" spans="5:25" ht="12.75">
      <c r="E398" s="228"/>
      <c r="F398" s="228"/>
      <c r="G398" s="174"/>
      <c r="I398" s="228"/>
      <c r="J398" s="228"/>
      <c r="K398" s="228"/>
      <c r="M398" s="228"/>
      <c r="N398" s="228"/>
      <c r="O398" s="228"/>
      <c r="Q398" s="228"/>
      <c r="R398" s="228"/>
      <c r="S398" s="228"/>
      <c r="T398" s="228"/>
      <c r="U398" s="174"/>
      <c r="V398" s="174"/>
      <c r="Y398" s="174"/>
    </row>
    <row r="399" spans="5:25" ht="12.75">
      <c r="E399" s="228"/>
      <c r="F399" s="228"/>
      <c r="G399" s="174"/>
      <c r="I399" s="228"/>
      <c r="J399" s="228"/>
      <c r="K399" s="228"/>
      <c r="M399" s="228"/>
      <c r="N399" s="228"/>
      <c r="O399" s="228"/>
      <c r="Q399" s="228"/>
      <c r="R399" s="228"/>
      <c r="S399" s="228"/>
      <c r="T399" s="228"/>
      <c r="U399" s="174"/>
      <c r="V399" s="174"/>
      <c r="Y399" s="174"/>
    </row>
    <row r="400" spans="5:25" ht="12.75">
      <c r="E400" s="228"/>
      <c r="F400" s="228"/>
      <c r="G400" s="174"/>
      <c r="I400" s="228"/>
      <c r="J400" s="228"/>
      <c r="K400" s="228"/>
      <c r="M400" s="228"/>
      <c r="N400" s="228"/>
      <c r="O400" s="228"/>
      <c r="Q400" s="228"/>
      <c r="R400" s="228"/>
      <c r="S400" s="228"/>
      <c r="T400" s="228"/>
      <c r="U400" s="174"/>
      <c r="V400" s="174"/>
      <c r="Y400" s="174"/>
    </row>
    <row r="401" spans="5:25" ht="12.75">
      <c r="E401" s="228"/>
      <c r="F401" s="228"/>
      <c r="G401" s="174"/>
      <c r="I401" s="228"/>
      <c r="J401" s="228"/>
      <c r="K401" s="228"/>
      <c r="M401" s="228"/>
      <c r="N401" s="228"/>
      <c r="O401" s="228"/>
      <c r="Q401" s="228"/>
      <c r="R401" s="228"/>
      <c r="S401" s="228"/>
      <c r="T401" s="228"/>
      <c r="U401" s="174"/>
      <c r="V401" s="174"/>
      <c r="Y401" s="174"/>
    </row>
    <row r="402" spans="5:25" ht="12.75">
      <c r="E402" s="228"/>
      <c r="F402" s="228"/>
      <c r="G402" s="174"/>
      <c r="I402" s="228"/>
      <c r="J402" s="228"/>
      <c r="K402" s="228"/>
      <c r="M402" s="228"/>
      <c r="N402" s="228"/>
      <c r="O402" s="228"/>
      <c r="Q402" s="228"/>
      <c r="R402" s="228"/>
      <c r="S402" s="228"/>
      <c r="T402" s="228"/>
      <c r="U402" s="174"/>
      <c r="V402" s="174"/>
      <c r="Y402" s="174"/>
    </row>
    <row r="403" spans="5:25" ht="12.75">
      <c r="E403" s="228"/>
      <c r="F403" s="228"/>
      <c r="G403" s="174"/>
      <c r="I403" s="228"/>
      <c r="J403" s="228"/>
      <c r="K403" s="228"/>
      <c r="M403" s="228"/>
      <c r="N403" s="228"/>
      <c r="O403" s="228"/>
      <c r="Q403" s="228"/>
      <c r="R403" s="228"/>
      <c r="S403" s="228"/>
      <c r="T403" s="228"/>
      <c r="U403" s="174"/>
      <c r="V403" s="174"/>
      <c r="Y403" s="174"/>
    </row>
    <row r="404" spans="5:25" ht="12.75">
      <c r="E404" s="228"/>
      <c r="F404" s="228"/>
      <c r="G404" s="174"/>
      <c r="I404" s="228"/>
      <c r="J404" s="228"/>
      <c r="K404" s="228"/>
      <c r="M404" s="228"/>
      <c r="N404" s="228"/>
      <c r="O404" s="228"/>
      <c r="Q404" s="228"/>
      <c r="R404" s="228"/>
      <c r="S404" s="228"/>
      <c r="T404" s="228"/>
      <c r="U404" s="174"/>
      <c r="V404" s="174"/>
      <c r="Y404" s="174"/>
    </row>
    <row r="405" spans="5:25" ht="12.75">
      <c r="E405" s="228"/>
      <c r="F405" s="228"/>
      <c r="G405" s="174"/>
      <c r="I405" s="228"/>
      <c r="J405" s="228"/>
      <c r="K405" s="228"/>
      <c r="M405" s="228"/>
      <c r="N405" s="228"/>
      <c r="O405" s="228"/>
      <c r="Q405" s="228"/>
      <c r="R405" s="228"/>
      <c r="S405" s="228"/>
      <c r="T405" s="228"/>
      <c r="U405" s="174"/>
      <c r="V405" s="174"/>
      <c r="Y405" s="174"/>
    </row>
    <row r="406" spans="5:25" ht="12.75">
      <c r="E406" s="228"/>
      <c r="F406" s="228"/>
      <c r="G406" s="174"/>
      <c r="I406" s="228"/>
      <c r="J406" s="228"/>
      <c r="K406" s="228"/>
      <c r="M406" s="228"/>
      <c r="N406" s="228"/>
      <c r="O406" s="228"/>
      <c r="Q406" s="228"/>
      <c r="R406" s="228"/>
      <c r="S406" s="228"/>
      <c r="T406" s="228"/>
      <c r="U406" s="174"/>
      <c r="V406" s="174"/>
      <c r="Y406" s="174"/>
    </row>
    <row r="407" spans="5:25" ht="12.75">
      <c r="E407" s="228"/>
      <c r="F407" s="228"/>
      <c r="G407" s="174"/>
      <c r="I407" s="228"/>
      <c r="J407" s="228"/>
      <c r="K407" s="228"/>
      <c r="M407" s="228"/>
      <c r="N407" s="228"/>
      <c r="O407" s="228"/>
      <c r="Q407" s="228"/>
      <c r="R407" s="228"/>
      <c r="S407" s="228"/>
      <c r="T407" s="228"/>
      <c r="U407" s="174"/>
      <c r="V407" s="174"/>
      <c r="Y407" s="174"/>
    </row>
    <row r="408" spans="5:25" ht="12.75">
      <c r="E408" s="228"/>
      <c r="F408" s="228"/>
      <c r="G408" s="174"/>
      <c r="I408" s="228"/>
      <c r="J408" s="228"/>
      <c r="K408" s="228"/>
      <c r="M408" s="228"/>
      <c r="N408" s="228"/>
      <c r="O408" s="228"/>
      <c r="Q408" s="228"/>
      <c r="R408" s="228"/>
      <c r="S408" s="228"/>
      <c r="T408" s="228"/>
      <c r="U408" s="174"/>
      <c r="V408" s="174"/>
      <c r="Y408" s="174"/>
    </row>
    <row r="409" spans="5:25" ht="12.75">
      <c r="E409" s="228"/>
      <c r="F409" s="228"/>
      <c r="G409" s="174"/>
      <c r="I409" s="228"/>
      <c r="J409" s="228"/>
      <c r="K409" s="228"/>
      <c r="M409" s="228"/>
      <c r="N409" s="228"/>
      <c r="O409" s="228"/>
      <c r="Q409" s="228"/>
      <c r="R409" s="228"/>
      <c r="S409" s="228"/>
      <c r="T409" s="228"/>
      <c r="U409" s="174"/>
      <c r="V409" s="174"/>
      <c r="Y409" s="174"/>
    </row>
    <row r="410" spans="5:25" ht="12.75">
      <c r="E410" s="228"/>
      <c r="F410" s="228"/>
      <c r="G410" s="174"/>
      <c r="I410" s="228"/>
      <c r="J410" s="228"/>
      <c r="K410" s="228"/>
      <c r="M410" s="228"/>
      <c r="N410" s="228"/>
      <c r="O410" s="228"/>
      <c r="Q410" s="228"/>
      <c r="R410" s="228"/>
      <c r="S410" s="228"/>
      <c r="T410" s="228"/>
      <c r="U410" s="174"/>
      <c r="V410" s="174"/>
      <c r="Y410" s="174"/>
    </row>
    <row r="411" spans="5:25" ht="12.75">
      <c r="E411" s="228"/>
      <c r="F411" s="228"/>
      <c r="G411" s="174"/>
      <c r="I411" s="228"/>
      <c r="J411" s="228"/>
      <c r="K411" s="228"/>
      <c r="M411" s="228"/>
      <c r="N411" s="228"/>
      <c r="O411" s="228"/>
      <c r="Q411" s="228"/>
      <c r="R411" s="228"/>
      <c r="S411" s="228"/>
      <c r="T411" s="228"/>
      <c r="U411" s="174"/>
      <c r="V411" s="174"/>
      <c r="Y411" s="174"/>
    </row>
    <row r="412" spans="5:25" ht="12.75">
      <c r="E412" s="228"/>
      <c r="F412" s="228"/>
      <c r="G412" s="174"/>
      <c r="I412" s="228"/>
      <c r="J412" s="228"/>
      <c r="K412" s="228"/>
      <c r="M412" s="228"/>
      <c r="N412" s="228"/>
      <c r="O412" s="228"/>
      <c r="Q412" s="228"/>
      <c r="R412" s="228"/>
      <c r="S412" s="228"/>
      <c r="T412" s="228"/>
      <c r="U412" s="174"/>
      <c r="V412" s="174"/>
      <c r="Y412" s="174"/>
    </row>
    <row r="413" spans="5:25" ht="12.75">
      <c r="E413" s="228"/>
      <c r="F413" s="228"/>
      <c r="G413" s="174"/>
      <c r="I413" s="228"/>
      <c r="J413" s="228"/>
      <c r="K413" s="228"/>
      <c r="M413" s="228"/>
      <c r="N413" s="228"/>
      <c r="O413" s="228"/>
      <c r="Q413" s="228"/>
      <c r="R413" s="228"/>
      <c r="S413" s="228"/>
      <c r="T413" s="228"/>
      <c r="U413" s="174"/>
      <c r="V413" s="174"/>
      <c r="Y413" s="174"/>
    </row>
    <row r="414" spans="5:25" ht="12.75">
      <c r="E414" s="228"/>
      <c r="F414" s="228"/>
      <c r="G414" s="174"/>
      <c r="I414" s="228"/>
      <c r="J414" s="228"/>
      <c r="K414" s="228"/>
      <c r="M414" s="228"/>
      <c r="N414" s="228"/>
      <c r="O414" s="228"/>
      <c r="Q414" s="228"/>
      <c r="R414" s="228"/>
      <c r="S414" s="228"/>
      <c r="T414" s="228"/>
      <c r="U414" s="174"/>
      <c r="V414" s="174"/>
      <c r="Y414" s="174"/>
    </row>
    <row r="415" spans="5:25" ht="12.75">
      <c r="E415" s="228"/>
      <c r="F415" s="228"/>
      <c r="G415" s="174"/>
      <c r="I415" s="228"/>
      <c r="J415" s="228"/>
      <c r="K415" s="228"/>
      <c r="M415" s="228"/>
      <c r="N415" s="228"/>
      <c r="O415" s="228"/>
      <c r="Q415" s="228"/>
      <c r="R415" s="228"/>
      <c r="S415" s="228"/>
      <c r="T415" s="228"/>
      <c r="U415" s="174"/>
      <c r="V415" s="174"/>
      <c r="Y415" s="174"/>
    </row>
    <row r="416" spans="5:25" ht="12.75">
      <c r="E416" s="228"/>
      <c r="F416" s="228"/>
      <c r="G416" s="174"/>
      <c r="I416" s="228"/>
      <c r="J416" s="228"/>
      <c r="K416" s="228"/>
      <c r="M416" s="228"/>
      <c r="N416" s="228"/>
      <c r="O416" s="228"/>
      <c r="Q416" s="228"/>
      <c r="R416" s="228"/>
      <c r="S416" s="228"/>
      <c r="T416" s="228"/>
      <c r="U416" s="174"/>
      <c r="V416" s="174"/>
      <c r="Y416" s="174"/>
    </row>
    <row r="417" spans="5:25" ht="12.75">
      <c r="E417" s="228"/>
      <c r="F417" s="228"/>
      <c r="G417" s="174"/>
      <c r="I417" s="228"/>
      <c r="J417" s="228"/>
      <c r="K417" s="228"/>
      <c r="M417" s="228"/>
      <c r="N417" s="228"/>
      <c r="O417" s="228"/>
      <c r="Q417" s="228"/>
      <c r="R417" s="228"/>
      <c r="S417" s="228"/>
      <c r="T417" s="228"/>
      <c r="U417" s="174"/>
      <c r="V417" s="174"/>
      <c r="Y417" s="174"/>
    </row>
    <row r="418" spans="5:25" ht="12.75">
      <c r="E418" s="228"/>
      <c r="F418" s="228"/>
      <c r="G418" s="174"/>
      <c r="I418" s="228"/>
      <c r="J418" s="228"/>
      <c r="K418" s="228"/>
      <c r="M418" s="228"/>
      <c r="N418" s="228"/>
      <c r="O418" s="228"/>
      <c r="Q418" s="228"/>
      <c r="R418" s="228"/>
      <c r="S418" s="228"/>
      <c r="T418" s="228"/>
      <c r="U418" s="174"/>
      <c r="V418" s="174"/>
      <c r="Y418" s="174"/>
    </row>
    <row r="419" spans="5:25" ht="12.75">
      <c r="E419" s="228"/>
      <c r="F419" s="228"/>
      <c r="G419" s="174"/>
      <c r="I419" s="228"/>
      <c r="J419" s="228"/>
      <c r="K419" s="228"/>
      <c r="M419" s="228"/>
      <c r="N419" s="228"/>
      <c r="O419" s="228"/>
      <c r="Q419" s="228"/>
      <c r="R419" s="228"/>
      <c r="S419" s="228"/>
      <c r="T419" s="228"/>
      <c r="U419" s="174"/>
      <c r="V419" s="174"/>
      <c r="Y419" s="174"/>
    </row>
    <row r="420" spans="5:25" ht="12.75">
      <c r="E420" s="228"/>
      <c r="F420" s="228"/>
      <c r="G420" s="174"/>
      <c r="I420" s="228"/>
      <c r="J420" s="228"/>
      <c r="K420" s="228"/>
      <c r="M420" s="228"/>
      <c r="N420" s="228"/>
      <c r="O420" s="228"/>
      <c r="Q420" s="228"/>
      <c r="R420" s="228"/>
      <c r="S420" s="228"/>
      <c r="T420" s="228"/>
      <c r="U420" s="174"/>
      <c r="V420" s="174"/>
      <c r="Y420" s="174"/>
    </row>
    <row r="421" spans="5:25" ht="12.75">
      <c r="E421" s="228"/>
      <c r="F421" s="228"/>
      <c r="G421" s="174"/>
      <c r="I421" s="228"/>
      <c r="J421" s="228"/>
      <c r="K421" s="228"/>
      <c r="M421" s="228"/>
      <c r="N421" s="228"/>
      <c r="O421" s="228"/>
      <c r="Q421" s="228"/>
      <c r="R421" s="228"/>
      <c r="S421" s="228"/>
      <c r="T421" s="228"/>
      <c r="U421" s="174"/>
      <c r="V421" s="174"/>
      <c r="Y421" s="174"/>
    </row>
    <row r="422" spans="5:25" ht="12.75">
      <c r="E422" s="228"/>
      <c r="F422" s="228"/>
      <c r="G422" s="174"/>
      <c r="I422" s="228"/>
      <c r="J422" s="228"/>
      <c r="K422" s="228"/>
      <c r="M422" s="228"/>
      <c r="N422" s="228"/>
      <c r="O422" s="228"/>
      <c r="Q422" s="228"/>
      <c r="R422" s="228"/>
      <c r="S422" s="228"/>
      <c r="T422" s="228"/>
      <c r="U422" s="174"/>
      <c r="V422" s="174"/>
      <c r="Y422" s="174"/>
    </row>
    <row r="423" spans="5:25" ht="12.75">
      <c r="E423" s="228"/>
      <c r="F423" s="228"/>
      <c r="G423" s="174"/>
      <c r="I423" s="228"/>
      <c r="J423" s="228"/>
      <c r="K423" s="228"/>
      <c r="M423" s="228"/>
      <c r="N423" s="228"/>
      <c r="O423" s="228"/>
      <c r="Q423" s="228"/>
      <c r="R423" s="228"/>
      <c r="S423" s="228"/>
      <c r="T423" s="228"/>
      <c r="U423" s="174"/>
      <c r="V423" s="174"/>
      <c r="Y423" s="174"/>
    </row>
    <row r="424" spans="5:25" ht="12.75">
      <c r="E424" s="228"/>
      <c r="F424" s="228"/>
      <c r="G424" s="174"/>
      <c r="I424" s="228"/>
      <c r="J424" s="228"/>
      <c r="K424" s="228"/>
      <c r="M424" s="228"/>
      <c r="N424" s="228"/>
      <c r="O424" s="228"/>
      <c r="Q424" s="228"/>
      <c r="R424" s="228"/>
      <c r="S424" s="228"/>
      <c r="T424" s="228"/>
      <c r="U424" s="174"/>
      <c r="V424" s="174"/>
      <c r="Y424" s="174"/>
    </row>
    <row r="425" spans="5:25" ht="12.75">
      <c r="E425" s="228"/>
      <c r="F425" s="228"/>
      <c r="G425" s="174"/>
      <c r="I425" s="228"/>
      <c r="J425" s="228"/>
      <c r="K425" s="228"/>
      <c r="M425" s="228"/>
      <c r="N425" s="228"/>
      <c r="O425" s="228"/>
      <c r="Q425" s="228"/>
      <c r="R425" s="228"/>
      <c r="S425" s="228"/>
      <c r="T425" s="228"/>
      <c r="U425" s="174"/>
      <c r="V425" s="174"/>
      <c r="Y425" s="174"/>
    </row>
    <row r="426" spans="5:25" ht="12.75">
      <c r="E426" s="228"/>
      <c r="F426" s="228"/>
      <c r="G426" s="174"/>
      <c r="I426" s="228"/>
      <c r="J426" s="228"/>
      <c r="K426" s="228"/>
      <c r="M426" s="228"/>
      <c r="N426" s="228"/>
      <c r="O426" s="228"/>
      <c r="Q426" s="228"/>
      <c r="R426" s="228"/>
      <c r="S426" s="228"/>
      <c r="T426" s="228"/>
      <c r="U426" s="174"/>
      <c r="V426" s="174"/>
      <c r="Y426" s="174"/>
    </row>
    <row r="427" spans="5:25" ht="12.75">
      <c r="E427" s="228"/>
      <c r="F427" s="228"/>
      <c r="G427" s="174"/>
      <c r="I427" s="228"/>
      <c r="J427" s="228"/>
      <c r="K427" s="228"/>
      <c r="M427" s="228"/>
      <c r="N427" s="228"/>
      <c r="O427" s="228"/>
      <c r="Q427" s="228"/>
      <c r="R427" s="228"/>
      <c r="S427" s="228"/>
      <c r="T427" s="228"/>
      <c r="U427" s="174"/>
      <c r="V427" s="174"/>
      <c r="Y427" s="174"/>
    </row>
    <row r="428" spans="5:25" ht="12.75">
      <c r="E428" s="228"/>
      <c r="F428" s="228"/>
      <c r="G428" s="174"/>
      <c r="I428" s="228"/>
      <c r="J428" s="228"/>
      <c r="K428" s="228"/>
      <c r="M428" s="228"/>
      <c r="N428" s="228"/>
      <c r="O428" s="228"/>
      <c r="Q428" s="228"/>
      <c r="R428" s="228"/>
      <c r="S428" s="228"/>
      <c r="T428" s="228"/>
      <c r="U428" s="174"/>
      <c r="V428" s="174"/>
      <c r="Y428" s="174"/>
    </row>
    <row r="429" spans="5:25" ht="12.75">
      <c r="E429" s="228"/>
      <c r="F429" s="228"/>
      <c r="G429" s="174"/>
      <c r="I429" s="228"/>
      <c r="J429" s="228"/>
      <c r="K429" s="228"/>
      <c r="M429" s="228"/>
      <c r="N429" s="228"/>
      <c r="O429" s="228"/>
      <c r="Q429" s="228"/>
      <c r="R429" s="228"/>
      <c r="S429" s="228"/>
      <c r="T429" s="228"/>
      <c r="U429" s="174"/>
      <c r="V429" s="174"/>
      <c r="Y429" s="174"/>
    </row>
    <row r="430" spans="5:25" ht="12.75">
      <c r="E430" s="228"/>
      <c r="F430" s="228"/>
      <c r="G430" s="174"/>
      <c r="I430" s="228"/>
      <c r="J430" s="228"/>
      <c r="K430" s="228"/>
      <c r="M430" s="228"/>
      <c r="N430" s="228"/>
      <c r="O430" s="228"/>
      <c r="Q430" s="228"/>
      <c r="R430" s="228"/>
      <c r="S430" s="228"/>
      <c r="T430" s="228"/>
      <c r="U430" s="174"/>
      <c r="V430" s="174"/>
      <c r="Y430" s="174"/>
    </row>
    <row r="431" spans="5:25" ht="12.75">
      <c r="E431" s="228"/>
      <c r="F431" s="228"/>
      <c r="G431" s="174"/>
      <c r="I431" s="228"/>
      <c r="J431" s="228"/>
      <c r="K431" s="228"/>
      <c r="M431" s="228"/>
      <c r="N431" s="228"/>
      <c r="O431" s="228"/>
      <c r="Q431" s="228"/>
      <c r="R431" s="228"/>
      <c r="S431" s="228"/>
      <c r="T431" s="228"/>
      <c r="U431" s="174"/>
      <c r="V431" s="174"/>
      <c r="Y431" s="174"/>
    </row>
    <row r="432" spans="5:25" ht="12.75">
      <c r="E432" s="228"/>
      <c r="F432" s="228"/>
      <c r="G432" s="174"/>
      <c r="I432" s="228"/>
      <c r="J432" s="228"/>
      <c r="K432" s="228"/>
      <c r="M432" s="228"/>
      <c r="N432" s="228"/>
      <c r="O432" s="228"/>
      <c r="Q432" s="228"/>
      <c r="R432" s="228"/>
      <c r="S432" s="228"/>
      <c r="T432" s="228"/>
      <c r="U432" s="174"/>
      <c r="V432" s="174"/>
      <c r="Y432" s="174"/>
    </row>
    <row r="433" spans="5:25" ht="12.75">
      <c r="E433" s="228"/>
      <c r="F433" s="228"/>
      <c r="G433" s="174"/>
      <c r="I433" s="228"/>
      <c r="J433" s="228"/>
      <c r="K433" s="228"/>
      <c r="M433" s="228"/>
      <c r="N433" s="228"/>
      <c r="O433" s="228"/>
      <c r="Q433" s="228"/>
      <c r="R433" s="228"/>
      <c r="S433" s="228"/>
      <c r="T433" s="228"/>
      <c r="U433" s="174"/>
      <c r="V433" s="174"/>
      <c r="Y433" s="174"/>
    </row>
    <row r="434" spans="5:25" ht="12.75">
      <c r="E434" s="228"/>
      <c r="F434" s="228"/>
      <c r="G434" s="174"/>
      <c r="I434" s="228"/>
      <c r="J434" s="228"/>
      <c r="K434" s="228"/>
      <c r="M434" s="228"/>
      <c r="N434" s="228"/>
      <c r="O434" s="228"/>
      <c r="Q434" s="228"/>
      <c r="R434" s="228"/>
      <c r="S434" s="228"/>
      <c r="T434" s="228"/>
      <c r="U434" s="174"/>
      <c r="V434" s="174"/>
      <c r="Y434" s="174"/>
    </row>
    <row r="435" spans="5:25" ht="12.75">
      <c r="E435" s="228"/>
      <c r="F435" s="228"/>
      <c r="G435" s="174"/>
      <c r="I435" s="228"/>
      <c r="J435" s="228"/>
      <c r="K435" s="228"/>
      <c r="M435" s="228"/>
      <c r="N435" s="228"/>
      <c r="O435" s="228"/>
      <c r="Q435" s="228"/>
      <c r="R435" s="228"/>
      <c r="S435" s="228"/>
      <c r="T435" s="228"/>
      <c r="U435" s="174"/>
      <c r="V435" s="174"/>
      <c r="Y435" s="174"/>
    </row>
    <row r="436" spans="5:25" ht="12.75">
      <c r="E436" s="228"/>
      <c r="F436" s="228"/>
      <c r="G436" s="174"/>
      <c r="I436" s="228"/>
      <c r="J436" s="228"/>
      <c r="K436" s="228"/>
      <c r="M436" s="228"/>
      <c r="N436" s="228"/>
      <c r="O436" s="228"/>
      <c r="Q436" s="228"/>
      <c r="R436" s="228"/>
      <c r="S436" s="228"/>
      <c r="T436" s="228"/>
      <c r="U436" s="174"/>
      <c r="V436" s="174"/>
      <c r="Y436" s="174"/>
    </row>
    <row r="437" spans="5:25" ht="12.75">
      <c r="E437" s="228"/>
      <c r="F437" s="228"/>
      <c r="G437" s="174"/>
      <c r="I437" s="228"/>
      <c r="J437" s="228"/>
      <c r="K437" s="228"/>
      <c r="M437" s="228"/>
      <c r="N437" s="228"/>
      <c r="O437" s="228"/>
      <c r="Q437" s="228"/>
      <c r="R437" s="228"/>
      <c r="S437" s="228"/>
      <c r="T437" s="228"/>
      <c r="U437" s="174"/>
      <c r="V437" s="174"/>
      <c r="Y437" s="174"/>
    </row>
    <row r="438" spans="5:25" ht="12.75">
      <c r="E438" s="228"/>
      <c r="F438" s="228"/>
      <c r="G438" s="174"/>
      <c r="I438" s="228"/>
      <c r="J438" s="228"/>
      <c r="K438" s="228"/>
      <c r="M438" s="228"/>
      <c r="N438" s="228"/>
      <c r="O438" s="228"/>
      <c r="Q438" s="228"/>
      <c r="R438" s="228"/>
      <c r="S438" s="228"/>
      <c r="T438" s="228"/>
      <c r="U438" s="174"/>
      <c r="V438" s="174"/>
      <c r="Y438" s="174"/>
    </row>
    <row r="439" spans="5:25" ht="12.75">
      <c r="E439" s="228"/>
      <c r="F439" s="228"/>
      <c r="G439" s="174"/>
      <c r="I439" s="228"/>
      <c r="J439" s="228"/>
      <c r="K439" s="228"/>
      <c r="M439" s="228"/>
      <c r="N439" s="228"/>
      <c r="O439" s="228"/>
      <c r="Q439" s="228"/>
      <c r="R439" s="228"/>
      <c r="S439" s="228"/>
      <c r="T439" s="228"/>
      <c r="U439" s="174"/>
      <c r="V439" s="174"/>
      <c r="Y439" s="174"/>
    </row>
    <row r="440" spans="5:25" ht="12.75">
      <c r="E440" s="228"/>
      <c r="F440" s="228"/>
      <c r="G440" s="174"/>
      <c r="I440" s="228"/>
      <c r="J440" s="228"/>
      <c r="K440" s="228"/>
      <c r="M440" s="228"/>
      <c r="N440" s="228"/>
      <c r="O440" s="228"/>
      <c r="Q440" s="228"/>
      <c r="R440" s="228"/>
      <c r="S440" s="228"/>
      <c r="T440" s="228"/>
      <c r="U440" s="174"/>
      <c r="V440" s="174"/>
      <c r="Y440" s="174"/>
    </row>
    <row r="441" spans="5:25" ht="12.75">
      <c r="E441" s="228"/>
      <c r="F441" s="228"/>
      <c r="G441" s="174"/>
      <c r="I441" s="228"/>
      <c r="J441" s="228"/>
      <c r="K441" s="228"/>
      <c r="M441" s="228"/>
      <c r="N441" s="228"/>
      <c r="O441" s="228"/>
      <c r="Q441" s="228"/>
      <c r="R441" s="228"/>
      <c r="S441" s="228"/>
      <c r="T441" s="228"/>
      <c r="U441" s="174"/>
      <c r="V441" s="174"/>
      <c r="Y441" s="174"/>
    </row>
    <row r="442" spans="5:25" ht="12.75">
      <c r="E442" s="228"/>
      <c r="F442" s="228"/>
      <c r="G442" s="174"/>
      <c r="I442" s="228"/>
      <c r="J442" s="228"/>
      <c r="K442" s="228"/>
      <c r="M442" s="228"/>
      <c r="N442" s="228"/>
      <c r="O442" s="228"/>
      <c r="Q442" s="228"/>
      <c r="R442" s="228"/>
      <c r="S442" s="228"/>
      <c r="T442" s="228"/>
      <c r="U442" s="174"/>
      <c r="V442" s="174"/>
      <c r="Y442" s="174"/>
    </row>
    <row r="443" spans="5:25" ht="12.75">
      <c r="E443" s="228"/>
      <c r="F443" s="228"/>
      <c r="G443" s="174"/>
      <c r="I443" s="228"/>
      <c r="J443" s="228"/>
      <c r="K443" s="228"/>
      <c r="M443" s="228"/>
      <c r="N443" s="228"/>
      <c r="O443" s="228"/>
      <c r="Q443" s="228"/>
      <c r="R443" s="228"/>
      <c r="S443" s="228"/>
      <c r="T443" s="228"/>
      <c r="U443" s="174"/>
      <c r="V443" s="174"/>
      <c r="Y443" s="174"/>
    </row>
    <row r="444" spans="5:25" ht="12.75">
      <c r="E444" s="228"/>
      <c r="F444" s="228"/>
      <c r="G444" s="174"/>
      <c r="I444" s="228"/>
      <c r="J444" s="228"/>
      <c r="K444" s="228"/>
      <c r="M444" s="228"/>
      <c r="N444" s="228"/>
      <c r="O444" s="228"/>
      <c r="Q444" s="228"/>
      <c r="R444" s="228"/>
      <c r="S444" s="228"/>
      <c r="T444" s="228"/>
      <c r="U444" s="174"/>
      <c r="V444" s="174"/>
      <c r="Y444" s="174"/>
    </row>
    <row r="445" spans="5:25" ht="12.75">
      <c r="E445" s="228"/>
      <c r="F445" s="228"/>
      <c r="G445" s="174"/>
      <c r="I445" s="228"/>
      <c r="J445" s="228"/>
      <c r="K445" s="228"/>
      <c r="M445" s="228"/>
      <c r="N445" s="228"/>
      <c r="O445" s="228"/>
      <c r="Q445" s="228"/>
      <c r="R445" s="228"/>
      <c r="S445" s="228"/>
      <c r="T445" s="228"/>
      <c r="U445" s="174"/>
      <c r="V445" s="174"/>
      <c r="Y445" s="174"/>
    </row>
    <row r="446" spans="5:25" ht="12.75">
      <c r="E446" s="228"/>
      <c r="F446" s="228"/>
      <c r="G446" s="174"/>
      <c r="I446" s="228"/>
      <c r="J446" s="228"/>
      <c r="K446" s="228"/>
      <c r="M446" s="228"/>
      <c r="N446" s="228"/>
      <c r="O446" s="228"/>
      <c r="Q446" s="228"/>
      <c r="R446" s="228"/>
      <c r="S446" s="228"/>
      <c r="T446" s="228"/>
      <c r="U446" s="174"/>
      <c r="V446" s="174"/>
      <c r="Y446" s="174"/>
    </row>
    <row r="447" spans="5:25" ht="12.75">
      <c r="E447" s="228"/>
      <c r="F447" s="228"/>
      <c r="G447" s="174"/>
      <c r="I447" s="228"/>
      <c r="J447" s="228"/>
      <c r="K447" s="228"/>
      <c r="M447" s="228"/>
      <c r="N447" s="228"/>
      <c r="O447" s="228"/>
      <c r="Q447" s="228"/>
      <c r="R447" s="228"/>
      <c r="S447" s="228"/>
      <c r="T447" s="228"/>
      <c r="U447" s="174"/>
      <c r="V447" s="174"/>
      <c r="Y447" s="174"/>
    </row>
    <row r="448" spans="5:25" ht="12.75">
      <c r="E448" s="228"/>
      <c r="F448" s="228"/>
      <c r="G448" s="174"/>
      <c r="I448" s="228"/>
      <c r="J448" s="228"/>
      <c r="K448" s="228"/>
      <c r="M448" s="228"/>
      <c r="N448" s="228"/>
      <c r="O448" s="228"/>
      <c r="Q448" s="228"/>
      <c r="R448" s="228"/>
      <c r="S448" s="228"/>
      <c r="T448" s="228"/>
      <c r="U448" s="174"/>
      <c r="V448" s="174"/>
      <c r="Y448" s="174"/>
    </row>
    <row r="449" spans="5:25" ht="12.75">
      <c r="E449" s="228"/>
      <c r="F449" s="228"/>
      <c r="G449" s="174"/>
      <c r="I449" s="228"/>
      <c r="J449" s="228"/>
      <c r="K449" s="228"/>
      <c r="M449" s="228"/>
      <c r="N449" s="228"/>
      <c r="O449" s="228"/>
      <c r="Q449" s="228"/>
      <c r="R449" s="228"/>
      <c r="S449" s="228"/>
      <c r="T449" s="228"/>
      <c r="U449" s="174"/>
      <c r="V449" s="174"/>
      <c r="Y449" s="174"/>
    </row>
    <row r="450" spans="5:25" ht="12.75">
      <c r="E450" s="228"/>
      <c r="F450" s="228"/>
      <c r="G450" s="174"/>
      <c r="I450" s="228"/>
      <c r="J450" s="228"/>
      <c r="K450" s="228"/>
      <c r="M450" s="228"/>
      <c r="N450" s="228"/>
      <c r="O450" s="228"/>
      <c r="Q450" s="228"/>
      <c r="R450" s="228"/>
      <c r="S450" s="228"/>
      <c r="T450" s="228"/>
      <c r="U450" s="174"/>
      <c r="V450" s="174"/>
      <c r="Y450" s="174"/>
    </row>
    <row r="451" spans="5:25" ht="12.75">
      <c r="E451" s="228"/>
      <c r="F451" s="228"/>
      <c r="G451" s="174"/>
      <c r="I451" s="228"/>
      <c r="J451" s="228"/>
      <c r="K451" s="228"/>
      <c r="M451" s="228"/>
      <c r="N451" s="228"/>
      <c r="O451" s="228"/>
      <c r="Q451" s="228"/>
      <c r="R451" s="228"/>
      <c r="S451" s="228"/>
      <c r="T451" s="228"/>
      <c r="U451" s="174"/>
      <c r="V451" s="174"/>
      <c r="Y451" s="174"/>
    </row>
    <row r="452" spans="5:25" ht="12.75">
      <c r="E452" s="228"/>
      <c r="F452" s="228"/>
      <c r="G452" s="174"/>
      <c r="I452" s="228"/>
      <c r="J452" s="228"/>
      <c r="K452" s="228"/>
      <c r="M452" s="228"/>
      <c r="N452" s="228"/>
      <c r="O452" s="228"/>
      <c r="Q452" s="228"/>
      <c r="R452" s="228"/>
      <c r="S452" s="228"/>
      <c r="T452" s="228"/>
      <c r="U452" s="174"/>
      <c r="V452" s="174"/>
      <c r="Y452" s="174"/>
    </row>
    <row r="453" spans="5:25" ht="12.75">
      <c r="E453" s="228"/>
      <c r="F453" s="228"/>
      <c r="G453" s="174"/>
      <c r="I453" s="228"/>
      <c r="J453" s="228"/>
      <c r="K453" s="228"/>
      <c r="M453" s="228"/>
      <c r="N453" s="228"/>
      <c r="O453" s="228"/>
      <c r="Q453" s="228"/>
      <c r="R453" s="228"/>
      <c r="S453" s="228"/>
      <c r="T453" s="228"/>
      <c r="U453" s="174"/>
      <c r="V453" s="174"/>
      <c r="Y453" s="174"/>
    </row>
    <row r="454" spans="5:25" ht="12.75">
      <c r="E454" s="228"/>
      <c r="F454" s="228"/>
      <c r="G454" s="174"/>
      <c r="I454" s="228"/>
      <c r="J454" s="228"/>
      <c r="K454" s="228"/>
      <c r="M454" s="228"/>
      <c r="N454" s="228"/>
      <c r="O454" s="228"/>
      <c r="Q454" s="228"/>
      <c r="R454" s="228"/>
      <c r="S454" s="228"/>
      <c r="T454" s="228"/>
      <c r="U454" s="174"/>
      <c r="V454" s="174"/>
      <c r="Y454" s="174"/>
    </row>
    <row r="455" spans="5:25" ht="12.75">
      <c r="E455" s="228"/>
      <c r="F455" s="228"/>
      <c r="G455" s="174"/>
      <c r="I455" s="228"/>
      <c r="J455" s="228"/>
      <c r="K455" s="228"/>
      <c r="M455" s="228"/>
      <c r="N455" s="228"/>
      <c r="O455" s="228"/>
      <c r="Q455" s="228"/>
      <c r="R455" s="228"/>
      <c r="S455" s="228"/>
      <c r="T455" s="228"/>
      <c r="U455" s="174"/>
      <c r="V455" s="174"/>
      <c r="Y455" s="174"/>
    </row>
    <row r="456" spans="5:25" ht="12.75">
      <c r="E456" s="228"/>
      <c r="F456" s="228"/>
      <c r="G456" s="174"/>
      <c r="I456" s="228"/>
      <c r="J456" s="228"/>
      <c r="K456" s="228"/>
      <c r="M456" s="228"/>
      <c r="N456" s="228"/>
      <c r="O456" s="228"/>
      <c r="Q456" s="228"/>
      <c r="R456" s="228"/>
      <c r="S456" s="228"/>
      <c r="T456" s="228"/>
      <c r="U456" s="174"/>
      <c r="V456" s="174"/>
      <c r="Y456" s="174"/>
    </row>
    <row r="457" spans="5:25" ht="12.75">
      <c r="E457" s="228"/>
      <c r="F457" s="228"/>
      <c r="G457" s="174"/>
      <c r="I457" s="228"/>
      <c r="J457" s="228"/>
      <c r="K457" s="228"/>
      <c r="M457" s="228"/>
      <c r="N457" s="228"/>
      <c r="O457" s="228"/>
      <c r="Q457" s="228"/>
      <c r="R457" s="228"/>
      <c r="S457" s="228"/>
      <c r="T457" s="228"/>
      <c r="U457" s="174"/>
      <c r="V457" s="174"/>
      <c r="Y457" s="174"/>
    </row>
    <row r="458" spans="5:25" ht="12.75">
      <c r="E458" s="228"/>
      <c r="F458" s="228"/>
      <c r="G458" s="174"/>
      <c r="I458" s="228"/>
      <c r="J458" s="228"/>
      <c r="K458" s="228"/>
      <c r="M458" s="228"/>
      <c r="N458" s="228"/>
      <c r="O458" s="228"/>
      <c r="Q458" s="228"/>
      <c r="R458" s="228"/>
      <c r="S458" s="228"/>
      <c r="T458" s="228"/>
      <c r="U458" s="174"/>
      <c r="V458" s="174"/>
      <c r="Y458" s="174"/>
    </row>
    <row r="459" spans="5:25" ht="12.75">
      <c r="E459" s="228"/>
      <c r="F459" s="228"/>
      <c r="G459" s="174"/>
      <c r="I459" s="228"/>
      <c r="J459" s="228"/>
      <c r="K459" s="228"/>
      <c r="M459" s="228"/>
      <c r="N459" s="228"/>
      <c r="O459" s="228"/>
      <c r="Q459" s="228"/>
      <c r="R459" s="228"/>
      <c r="S459" s="228"/>
      <c r="T459" s="228"/>
      <c r="U459" s="174"/>
      <c r="V459" s="174"/>
      <c r="Y459" s="174"/>
    </row>
    <row r="460" spans="5:25" ht="12.75">
      <c r="E460" s="228"/>
      <c r="F460" s="228"/>
      <c r="G460" s="174"/>
      <c r="I460" s="228"/>
      <c r="J460" s="228"/>
      <c r="K460" s="228"/>
      <c r="M460" s="228"/>
      <c r="N460" s="228"/>
      <c r="O460" s="228"/>
      <c r="Q460" s="228"/>
      <c r="R460" s="228"/>
      <c r="S460" s="228"/>
      <c r="T460" s="228"/>
      <c r="U460" s="174"/>
      <c r="V460" s="174"/>
      <c r="Y460" s="174"/>
    </row>
    <row r="461" spans="5:25" ht="12.75">
      <c r="E461" s="228"/>
      <c r="F461" s="228"/>
      <c r="G461" s="174"/>
      <c r="I461" s="228"/>
      <c r="J461" s="228"/>
      <c r="K461" s="228"/>
      <c r="M461" s="228"/>
      <c r="N461" s="228"/>
      <c r="O461" s="228"/>
      <c r="Q461" s="228"/>
      <c r="R461" s="228"/>
      <c r="S461" s="228"/>
      <c r="T461" s="228"/>
      <c r="U461" s="174"/>
      <c r="V461" s="174"/>
      <c r="Y461" s="174"/>
    </row>
    <row r="462" spans="5:25" ht="12.75">
      <c r="E462" s="228"/>
      <c r="F462" s="228"/>
      <c r="G462" s="174"/>
      <c r="I462" s="228"/>
      <c r="J462" s="228"/>
      <c r="K462" s="228"/>
      <c r="M462" s="228"/>
      <c r="N462" s="228"/>
      <c r="O462" s="228"/>
      <c r="Q462" s="228"/>
      <c r="R462" s="228"/>
      <c r="S462" s="228"/>
      <c r="T462" s="228"/>
      <c r="U462" s="174"/>
      <c r="V462" s="174"/>
      <c r="Y462" s="174"/>
    </row>
    <row r="463" spans="5:25" ht="12.75">
      <c r="E463" s="228"/>
      <c r="F463" s="228"/>
      <c r="G463" s="174"/>
      <c r="I463" s="228"/>
      <c r="J463" s="228"/>
      <c r="K463" s="228"/>
      <c r="M463" s="228"/>
      <c r="N463" s="228"/>
      <c r="O463" s="228"/>
      <c r="Q463" s="228"/>
      <c r="R463" s="228"/>
      <c r="S463" s="228"/>
      <c r="T463" s="228"/>
      <c r="U463" s="174"/>
      <c r="V463" s="174"/>
      <c r="Y463" s="174"/>
    </row>
    <row r="464" spans="5:25" ht="12.75">
      <c r="E464" s="228"/>
      <c r="F464" s="228"/>
      <c r="G464" s="174"/>
      <c r="I464" s="228"/>
      <c r="J464" s="228"/>
      <c r="K464" s="228"/>
      <c r="M464" s="228"/>
      <c r="N464" s="228"/>
      <c r="O464" s="228"/>
      <c r="Q464" s="228"/>
      <c r="R464" s="228"/>
      <c r="S464" s="228"/>
      <c r="T464" s="228"/>
      <c r="U464" s="174"/>
      <c r="V464" s="174"/>
      <c r="Y464" s="174"/>
    </row>
    <row r="465" spans="5:25" ht="12.75">
      <c r="E465" s="228"/>
      <c r="F465" s="228"/>
      <c r="G465" s="174"/>
      <c r="I465" s="228"/>
      <c r="J465" s="228"/>
      <c r="K465" s="228"/>
      <c r="M465" s="228"/>
      <c r="N465" s="228"/>
      <c r="O465" s="228"/>
      <c r="Q465" s="228"/>
      <c r="R465" s="228"/>
      <c r="S465" s="228"/>
      <c r="T465" s="228"/>
      <c r="U465" s="174"/>
      <c r="V465" s="174"/>
      <c r="Y465" s="174"/>
    </row>
    <row r="466" spans="5:25" ht="12.75">
      <c r="E466" s="228"/>
      <c r="F466" s="228"/>
      <c r="G466" s="174"/>
      <c r="I466" s="228"/>
      <c r="J466" s="228"/>
      <c r="K466" s="228"/>
      <c r="M466" s="228"/>
      <c r="N466" s="228"/>
      <c r="O466" s="228"/>
      <c r="Q466" s="228"/>
      <c r="R466" s="228"/>
      <c r="S466" s="228"/>
      <c r="T466" s="228"/>
      <c r="U466" s="174"/>
      <c r="V466" s="174"/>
      <c r="Y466" s="174"/>
    </row>
    <row r="467" spans="5:25" ht="12.75">
      <c r="E467" s="228"/>
      <c r="F467" s="228"/>
      <c r="G467" s="174"/>
      <c r="I467" s="228"/>
      <c r="J467" s="228"/>
      <c r="K467" s="228"/>
      <c r="M467" s="228"/>
      <c r="N467" s="228"/>
      <c r="O467" s="228"/>
      <c r="Q467" s="228"/>
      <c r="R467" s="228"/>
      <c r="S467" s="228"/>
      <c r="T467" s="228"/>
      <c r="U467" s="174"/>
      <c r="V467" s="174"/>
      <c r="Y467" s="174"/>
    </row>
    <row r="468" spans="5:25" ht="12.75">
      <c r="E468" s="228"/>
      <c r="F468" s="228"/>
      <c r="G468" s="174"/>
      <c r="I468" s="228"/>
      <c r="J468" s="228"/>
      <c r="K468" s="228"/>
      <c r="M468" s="228"/>
      <c r="N468" s="228"/>
      <c r="O468" s="228"/>
      <c r="Q468" s="228"/>
      <c r="R468" s="228"/>
      <c r="S468" s="228"/>
      <c r="T468" s="228"/>
      <c r="U468" s="174"/>
      <c r="V468" s="174"/>
      <c r="Y468" s="174"/>
    </row>
    <row r="469" spans="5:25" ht="12.75">
      <c r="E469" s="228"/>
      <c r="F469" s="228"/>
      <c r="G469" s="174"/>
      <c r="I469" s="228"/>
      <c r="J469" s="228"/>
      <c r="K469" s="228"/>
      <c r="M469" s="228"/>
      <c r="N469" s="228"/>
      <c r="O469" s="228"/>
      <c r="Q469" s="228"/>
      <c r="R469" s="228"/>
      <c r="S469" s="228"/>
      <c r="T469" s="228"/>
      <c r="U469" s="174"/>
      <c r="V469" s="174"/>
      <c r="Y469" s="174"/>
    </row>
    <row r="470" spans="5:25" ht="12.75">
      <c r="E470" s="228"/>
      <c r="F470" s="228"/>
      <c r="G470" s="174"/>
      <c r="I470" s="228"/>
      <c r="J470" s="228"/>
      <c r="K470" s="228"/>
      <c r="M470" s="228"/>
      <c r="N470" s="228"/>
      <c r="O470" s="228"/>
      <c r="Q470" s="228"/>
      <c r="R470" s="228"/>
      <c r="S470" s="228"/>
      <c r="T470" s="228"/>
      <c r="U470" s="174"/>
      <c r="V470" s="174"/>
      <c r="Y470" s="174"/>
    </row>
    <row r="471" spans="5:25" ht="12.75">
      <c r="E471" s="228"/>
      <c r="F471" s="228"/>
      <c r="G471" s="174"/>
      <c r="I471" s="228"/>
      <c r="J471" s="228"/>
      <c r="K471" s="228"/>
      <c r="M471" s="228"/>
      <c r="N471" s="228"/>
      <c r="O471" s="228"/>
      <c r="Q471" s="228"/>
      <c r="R471" s="228"/>
      <c r="S471" s="228"/>
      <c r="T471" s="228"/>
      <c r="U471" s="174"/>
      <c r="V471" s="174"/>
      <c r="Y471" s="174"/>
    </row>
    <row r="472" spans="5:25" ht="12.75">
      <c r="E472" s="228"/>
      <c r="F472" s="228"/>
      <c r="G472" s="174"/>
      <c r="I472" s="228"/>
      <c r="J472" s="228"/>
      <c r="K472" s="228"/>
      <c r="M472" s="228"/>
      <c r="N472" s="228"/>
      <c r="O472" s="228"/>
      <c r="Q472" s="228"/>
      <c r="R472" s="228"/>
      <c r="S472" s="228"/>
      <c r="T472" s="228"/>
      <c r="U472" s="174"/>
      <c r="V472" s="174"/>
      <c r="Y472" s="174"/>
    </row>
    <row r="473" spans="5:25" ht="12.75">
      <c r="E473" s="228"/>
      <c r="F473" s="228"/>
      <c r="G473" s="174"/>
      <c r="I473" s="228"/>
      <c r="J473" s="228"/>
      <c r="K473" s="228"/>
      <c r="M473" s="228"/>
      <c r="N473" s="228"/>
      <c r="O473" s="228"/>
      <c r="Q473" s="228"/>
      <c r="R473" s="228"/>
      <c r="S473" s="228"/>
      <c r="T473" s="228"/>
      <c r="U473" s="174"/>
      <c r="V473" s="174"/>
      <c r="Y473" s="174"/>
    </row>
    <row r="474" spans="5:25" ht="12.75">
      <c r="E474" s="228"/>
      <c r="F474" s="228"/>
      <c r="G474" s="174"/>
      <c r="I474" s="228"/>
      <c r="J474" s="228"/>
      <c r="K474" s="228"/>
      <c r="M474" s="228"/>
      <c r="N474" s="228"/>
      <c r="O474" s="228"/>
      <c r="Q474" s="228"/>
      <c r="R474" s="228"/>
      <c r="S474" s="228"/>
      <c r="T474" s="228"/>
      <c r="U474" s="174"/>
      <c r="V474" s="174"/>
      <c r="Y474" s="174"/>
    </row>
    <row r="475" spans="5:25" ht="12.75">
      <c r="E475" s="228"/>
      <c r="F475" s="228"/>
      <c r="G475" s="174"/>
      <c r="I475" s="228"/>
      <c r="J475" s="228"/>
      <c r="K475" s="228"/>
      <c r="M475" s="228"/>
      <c r="N475" s="228"/>
      <c r="O475" s="228"/>
      <c r="Q475" s="228"/>
      <c r="R475" s="228"/>
      <c r="S475" s="228"/>
      <c r="T475" s="228"/>
      <c r="U475" s="174"/>
      <c r="V475" s="174"/>
      <c r="Y475" s="174"/>
    </row>
    <row r="476" spans="5:25" ht="12.75">
      <c r="E476" s="228"/>
      <c r="F476" s="228"/>
      <c r="G476" s="174"/>
      <c r="I476" s="228"/>
      <c r="J476" s="228"/>
      <c r="K476" s="228"/>
      <c r="M476" s="228"/>
      <c r="N476" s="228"/>
      <c r="O476" s="228"/>
      <c r="Q476" s="228"/>
      <c r="R476" s="228"/>
      <c r="S476" s="228"/>
      <c r="T476" s="228"/>
      <c r="U476" s="174"/>
      <c r="V476" s="174"/>
      <c r="Y476" s="174"/>
    </row>
    <row r="477" spans="5:25" ht="12.75">
      <c r="E477" s="228"/>
      <c r="F477" s="228"/>
      <c r="G477" s="174"/>
      <c r="I477" s="228"/>
      <c r="J477" s="228"/>
      <c r="K477" s="228"/>
      <c r="M477" s="228"/>
      <c r="N477" s="228"/>
      <c r="O477" s="228"/>
      <c r="Q477" s="228"/>
      <c r="R477" s="228"/>
      <c r="S477" s="228"/>
      <c r="T477" s="228"/>
      <c r="U477" s="174"/>
      <c r="V477" s="174"/>
      <c r="Y477" s="174"/>
    </row>
    <row r="478" spans="5:25" ht="12.75">
      <c r="E478" s="228"/>
      <c r="F478" s="228"/>
      <c r="G478" s="174"/>
      <c r="I478" s="228"/>
      <c r="J478" s="228"/>
      <c r="K478" s="228"/>
      <c r="M478" s="228"/>
      <c r="N478" s="228"/>
      <c r="O478" s="228"/>
      <c r="Q478" s="228"/>
      <c r="R478" s="228"/>
      <c r="S478" s="228"/>
      <c r="T478" s="228"/>
      <c r="U478" s="174"/>
      <c r="V478" s="174"/>
      <c r="Y478" s="174"/>
    </row>
    <row r="479" spans="5:25" ht="12.75">
      <c r="E479" s="228"/>
      <c r="F479" s="228"/>
      <c r="G479" s="174"/>
      <c r="I479" s="228"/>
      <c r="J479" s="228"/>
      <c r="K479" s="228"/>
      <c r="M479" s="228"/>
      <c r="N479" s="228"/>
      <c r="O479" s="228"/>
      <c r="Q479" s="228"/>
      <c r="R479" s="228"/>
      <c r="S479" s="228"/>
      <c r="T479" s="228"/>
      <c r="U479" s="174"/>
      <c r="V479" s="174"/>
      <c r="Y479" s="174"/>
    </row>
    <row r="480" spans="5:25" ht="12.75">
      <c r="E480" s="228"/>
      <c r="F480" s="228"/>
      <c r="G480" s="174"/>
      <c r="I480" s="228"/>
      <c r="J480" s="228"/>
      <c r="K480" s="228"/>
      <c r="M480" s="228"/>
      <c r="N480" s="228"/>
      <c r="O480" s="228"/>
      <c r="Q480" s="228"/>
      <c r="R480" s="228"/>
      <c r="S480" s="228"/>
      <c r="T480" s="228"/>
      <c r="U480" s="174"/>
      <c r="V480" s="174"/>
      <c r="Y480" s="174"/>
    </row>
    <row r="481" spans="5:25" ht="12.75">
      <c r="E481" s="228"/>
      <c r="F481" s="228"/>
      <c r="G481" s="174"/>
      <c r="I481" s="228"/>
      <c r="J481" s="228"/>
      <c r="K481" s="228"/>
      <c r="M481" s="228"/>
      <c r="N481" s="228"/>
      <c r="O481" s="228"/>
      <c r="Q481" s="228"/>
      <c r="R481" s="228"/>
      <c r="S481" s="228"/>
      <c r="T481" s="228"/>
      <c r="U481" s="174"/>
      <c r="V481" s="174"/>
      <c r="Y481" s="174"/>
    </row>
    <row r="482" spans="5:25" ht="12.75">
      <c r="E482" s="228"/>
      <c r="F482" s="228"/>
      <c r="G482" s="174"/>
      <c r="I482" s="228"/>
      <c r="J482" s="228"/>
      <c r="K482" s="228"/>
      <c r="M482" s="228"/>
      <c r="N482" s="228"/>
      <c r="O482" s="228"/>
      <c r="Q482" s="228"/>
      <c r="R482" s="228"/>
      <c r="S482" s="228"/>
      <c r="T482" s="228"/>
      <c r="U482" s="174"/>
      <c r="V482" s="174"/>
      <c r="Y482" s="174"/>
    </row>
    <row r="483" spans="5:25" ht="12.75">
      <c r="E483" s="228"/>
      <c r="F483" s="228"/>
      <c r="G483" s="174"/>
      <c r="I483" s="228"/>
      <c r="J483" s="228"/>
      <c r="K483" s="228"/>
      <c r="M483" s="228"/>
      <c r="N483" s="228"/>
      <c r="O483" s="228"/>
      <c r="Q483" s="228"/>
      <c r="R483" s="228"/>
      <c r="S483" s="228"/>
      <c r="T483" s="228"/>
      <c r="U483" s="174"/>
      <c r="V483" s="174"/>
      <c r="Y483" s="174"/>
    </row>
    <row r="484" spans="5:25" ht="12.75">
      <c r="E484" s="228"/>
      <c r="F484" s="228"/>
      <c r="G484" s="174"/>
      <c r="I484" s="228"/>
      <c r="J484" s="228"/>
      <c r="K484" s="228"/>
      <c r="M484" s="228"/>
      <c r="N484" s="228"/>
      <c r="O484" s="228"/>
      <c r="Q484" s="228"/>
      <c r="R484" s="228"/>
      <c r="S484" s="228"/>
      <c r="T484" s="228"/>
      <c r="U484" s="174"/>
      <c r="V484" s="174"/>
      <c r="Y484" s="174"/>
    </row>
    <row r="485" spans="5:25" ht="12.75">
      <c r="E485" s="228"/>
      <c r="F485" s="228"/>
      <c r="G485" s="174"/>
      <c r="I485" s="228"/>
      <c r="J485" s="228"/>
      <c r="K485" s="228"/>
      <c r="M485" s="228"/>
      <c r="N485" s="228"/>
      <c r="O485" s="228"/>
      <c r="Q485" s="228"/>
      <c r="R485" s="228"/>
      <c r="S485" s="228"/>
      <c r="T485" s="228"/>
      <c r="U485" s="174"/>
      <c r="V485" s="174"/>
      <c r="Y485" s="174"/>
    </row>
    <row r="486" spans="5:25" ht="12.75">
      <c r="E486" s="228"/>
      <c r="F486" s="228"/>
      <c r="G486" s="174"/>
      <c r="I486" s="228"/>
      <c r="J486" s="228"/>
      <c r="K486" s="228"/>
      <c r="M486" s="228"/>
      <c r="N486" s="228"/>
      <c r="O486" s="228"/>
      <c r="Q486" s="228"/>
      <c r="R486" s="228"/>
      <c r="S486" s="228"/>
      <c r="T486" s="228"/>
      <c r="U486" s="174"/>
      <c r="V486" s="174"/>
      <c r="Y486" s="174"/>
    </row>
    <row r="487" spans="5:25" ht="12.75">
      <c r="E487" s="228"/>
      <c r="F487" s="228"/>
      <c r="G487" s="174"/>
      <c r="I487" s="228"/>
      <c r="J487" s="228"/>
      <c r="K487" s="228"/>
      <c r="M487" s="228"/>
      <c r="N487" s="228"/>
      <c r="O487" s="228"/>
      <c r="Q487" s="228"/>
      <c r="R487" s="228"/>
      <c r="S487" s="228"/>
      <c r="T487" s="228"/>
      <c r="U487" s="174"/>
      <c r="V487" s="174"/>
      <c r="Y487" s="174"/>
    </row>
    <row r="488" spans="5:25" ht="12.75">
      <c r="E488" s="228"/>
      <c r="F488" s="228"/>
      <c r="G488" s="174"/>
      <c r="I488" s="228"/>
      <c r="J488" s="228"/>
      <c r="K488" s="228"/>
      <c r="M488" s="228"/>
      <c r="N488" s="228"/>
      <c r="O488" s="228"/>
      <c r="Q488" s="228"/>
      <c r="R488" s="228"/>
      <c r="S488" s="228"/>
      <c r="T488" s="228"/>
      <c r="U488" s="174"/>
      <c r="V488" s="174"/>
      <c r="Y488" s="174"/>
    </row>
    <row r="489" spans="5:25" ht="12.75">
      <c r="E489" s="228"/>
      <c r="F489" s="228"/>
      <c r="G489" s="174"/>
      <c r="I489" s="228"/>
      <c r="J489" s="228"/>
      <c r="K489" s="228"/>
      <c r="M489" s="228"/>
      <c r="N489" s="228"/>
      <c r="O489" s="228"/>
      <c r="Q489" s="228"/>
      <c r="R489" s="228"/>
      <c r="S489" s="228"/>
      <c r="T489" s="228"/>
      <c r="U489" s="174"/>
      <c r="V489" s="174"/>
      <c r="Y489" s="174"/>
    </row>
    <row r="490" spans="5:25" ht="12.75">
      <c r="E490" s="228"/>
      <c r="F490" s="228"/>
      <c r="G490" s="174"/>
      <c r="I490" s="228"/>
      <c r="J490" s="228"/>
      <c r="K490" s="228"/>
      <c r="M490" s="228"/>
      <c r="N490" s="228"/>
      <c r="O490" s="228"/>
      <c r="Q490" s="228"/>
      <c r="R490" s="228"/>
      <c r="S490" s="228"/>
      <c r="T490" s="228"/>
      <c r="U490" s="174"/>
      <c r="V490" s="174"/>
      <c r="Y490" s="174"/>
    </row>
    <row r="491" spans="5:25" ht="12.75">
      <c r="E491" s="228"/>
      <c r="F491" s="228"/>
      <c r="G491" s="174"/>
      <c r="I491" s="228"/>
      <c r="J491" s="228"/>
      <c r="K491" s="228"/>
      <c r="M491" s="228"/>
      <c r="N491" s="228"/>
      <c r="O491" s="228"/>
      <c r="Q491" s="228"/>
      <c r="R491" s="228"/>
      <c r="S491" s="228"/>
      <c r="T491" s="228"/>
      <c r="U491" s="174"/>
      <c r="V491" s="174"/>
      <c r="Y491" s="174"/>
    </row>
    <row r="492" spans="5:25" ht="12.75">
      <c r="E492" s="228"/>
      <c r="F492" s="228"/>
      <c r="G492" s="174"/>
      <c r="I492" s="228"/>
      <c r="J492" s="228"/>
      <c r="K492" s="228"/>
      <c r="M492" s="228"/>
      <c r="N492" s="228"/>
      <c r="O492" s="228"/>
      <c r="Q492" s="228"/>
      <c r="R492" s="228"/>
      <c r="S492" s="228"/>
      <c r="T492" s="228"/>
      <c r="U492" s="174"/>
      <c r="V492" s="174"/>
      <c r="Y492" s="174"/>
    </row>
    <row r="493" spans="5:25" ht="12.75">
      <c r="E493" s="228"/>
      <c r="F493" s="228"/>
      <c r="G493" s="174"/>
      <c r="I493" s="228"/>
      <c r="J493" s="228"/>
      <c r="K493" s="228"/>
      <c r="M493" s="228"/>
      <c r="N493" s="228"/>
      <c r="O493" s="228"/>
      <c r="Q493" s="228"/>
      <c r="R493" s="228"/>
      <c r="S493" s="228"/>
      <c r="T493" s="228"/>
      <c r="U493" s="174"/>
      <c r="V493" s="174"/>
      <c r="Y493" s="174"/>
    </row>
    <row r="494" spans="5:25" ht="12.75">
      <c r="E494" s="228"/>
      <c r="F494" s="228"/>
      <c r="G494" s="174"/>
      <c r="I494" s="228"/>
      <c r="J494" s="228"/>
      <c r="K494" s="228"/>
      <c r="M494" s="228"/>
      <c r="N494" s="228"/>
      <c r="O494" s="228"/>
      <c r="Q494" s="228"/>
      <c r="R494" s="228"/>
      <c r="S494" s="228"/>
      <c r="T494" s="228"/>
      <c r="U494" s="174"/>
      <c r="V494" s="174"/>
      <c r="Y494" s="174"/>
    </row>
    <row r="495" spans="5:25" ht="12.75">
      <c r="E495" s="228"/>
      <c r="F495" s="228"/>
      <c r="G495" s="174"/>
      <c r="I495" s="228"/>
      <c r="J495" s="228"/>
      <c r="K495" s="228"/>
      <c r="M495" s="228"/>
      <c r="N495" s="228"/>
      <c r="O495" s="228"/>
      <c r="Q495" s="228"/>
      <c r="R495" s="228"/>
      <c r="S495" s="228"/>
      <c r="T495" s="228"/>
      <c r="U495" s="174"/>
      <c r="V495" s="174"/>
      <c r="Y495" s="174"/>
    </row>
    <row r="496" spans="5:25" ht="12.75">
      <c r="E496" s="228"/>
      <c r="F496" s="228"/>
      <c r="G496" s="174"/>
      <c r="I496" s="228"/>
      <c r="J496" s="228"/>
      <c r="K496" s="228"/>
      <c r="M496" s="228"/>
      <c r="N496" s="228"/>
      <c r="O496" s="228"/>
      <c r="Q496" s="228"/>
      <c r="R496" s="228"/>
      <c r="S496" s="228"/>
      <c r="T496" s="228"/>
      <c r="U496" s="174"/>
      <c r="V496" s="174"/>
      <c r="Y496" s="174"/>
    </row>
    <row r="497" spans="5:25" ht="12.75">
      <c r="E497" s="228"/>
      <c r="F497" s="228"/>
      <c r="G497" s="174"/>
      <c r="I497" s="228"/>
      <c r="J497" s="228"/>
      <c r="K497" s="228"/>
      <c r="M497" s="228"/>
      <c r="N497" s="228"/>
      <c r="O497" s="228"/>
      <c r="Q497" s="228"/>
      <c r="R497" s="228"/>
      <c r="S497" s="228"/>
      <c r="T497" s="228"/>
      <c r="U497" s="174"/>
      <c r="V497" s="174"/>
      <c r="Y497" s="174"/>
    </row>
    <row r="498" spans="5:25" ht="12.75">
      <c r="E498" s="228"/>
      <c r="F498" s="228"/>
      <c r="G498" s="174"/>
      <c r="I498" s="228"/>
      <c r="J498" s="228"/>
      <c r="K498" s="228"/>
      <c r="M498" s="228"/>
      <c r="N498" s="228"/>
      <c r="O498" s="228"/>
      <c r="Q498" s="228"/>
      <c r="R498" s="228"/>
      <c r="S498" s="228"/>
      <c r="T498" s="228"/>
      <c r="U498" s="174"/>
      <c r="V498" s="174"/>
      <c r="Y498" s="174"/>
    </row>
    <row r="499" spans="5:25" ht="12.75">
      <c r="E499" s="228"/>
      <c r="F499" s="228"/>
      <c r="G499" s="174"/>
      <c r="I499" s="228"/>
      <c r="J499" s="228"/>
      <c r="K499" s="228"/>
      <c r="M499" s="228"/>
      <c r="N499" s="228"/>
      <c r="O499" s="228"/>
      <c r="Q499" s="228"/>
      <c r="R499" s="228"/>
      <c r="S499" s="228"/>
      <c r="T499" s="228"/>
      <c r="U499" s="174"/>
      <c r="V499" s="174"/>
      <c r="Y499" s="174"/>
    </row>
    <row r="500" spans="5:25" ht="12.75">
      <c r="E500" s="228"/>
      <c r="F500" s="228"/>
      <c r="G500" s="174"/>
      <c r="I500" s="228"/>
      <c r="J500" s="228"/>
      <c r="K500" s="228"/>
      <c r="M500" s="228"/>
      <c r="N500" s="228"/>
      <c r="O500" s="228"/>
      <c r="Q500" s="228"/>
      <c r="R500" s="228"/>
      <c r="S500" s="228"/>
      <c r="T500" s="228"/>
      <c r="U500" s="174"/>
      <c r="V500" s="174"/>
      <c r="Y500" s="174"/>
    </row>
    <row r="501" spans="5:25" ht="12.75">
      <c r="E501" s="228"/>
      <c r="F501" s="228"/>
      <c r="G501" s="174"/>
      <c r="I501" s="228"/>
      <c r="J501" s="228"/>
      <c r="K501" s="228"/>
      <c r="M501" s="228"/>
      <c r="N501" s="228"/>
      <c r="O501" s="228"/>
      <c r="Q501" s="228"/>
      <c r="R501" s="228"/>
      <c r="S501" s="228"/>
      <c r="T501" s="228"/>
      <c r="U501" s="174"/>
      <c r="V501" s="174"/>
      <c r="Y501" s="174"/>
    </row>
    <row r="502" spans="5:25" ht="12.75">
      <c r="E502" s="228"/>
      <c r="F502" s="228"/>
      <c r="G502" s="174"/>
      <c r="I502" s="228"/>
      <c r="J502" s="228"/>
      <c r="K502" s="228"/>
      <c r="M502" s="228"/>
      <c r="N502" s="228"/>
      <c r="O502" s="228"/>
      <c r="Q502" s="228"/>
      <c r="R502" s="228"/>
      <c r="S502" s="228"/>
      <c r="T502" s="228"/>
      <c r="U502" s="174"/>
      <c r="V502" s="174"/>
      <c r="Y502" s="174"/>
    </row>
    <row r="503" spans="5:25" ht="12.75">
      <c r="E503" s="228"/>
      <c r="F503" s="228"/>
      <c r="G503" s="174"/>
      <c r="I503" s="228"/>
      <c r="J503" s="228"/>
      <c r="K503" s="228"/>
      <c r="M503" s="228"/>
      <c r="N503" s="228"/>
      <c r="O503" s="228"/>
      <c r="Q503" s="228"/>
      <c r="R503" s="228"/>
      <c r="S503" s="228"/>
      <c r="T503" s="228"/>
      <c r="U503" s="174"/>
      <c r="V503" s="174"/>
      <c r="Y503" s="174"/>
    </row>
    <row r="504" spans="5:25" ht="12.75">
      <c r="E504" s="228"/>
      <c r="F504" s="228"/>
      <c r="G504" s="174"/>
      <c r="I504" s="228"/>
      <c r="J504" s="228"/>
      <c r="K504" s="228"/>
      <c r="M504" s="228"/>
      <c r="N504" s="228"/>
      <c r="O504" s="228"/>
      <c r="Q504" s="228"/>
      <c r="R504" s="228"/>
      <c r="S504" s="228"/>
      <c r="T504" s="228"/>
      <c r="U504" s="174"/>
      <c r="V504" s="174"/>
      <c r="Y504" s="174"/>
    </row>
    <row r="505" spans="5:25" ht="12.75">
      <c r="E505" s="228"/>
      <c r="F505" s="228"/>
      <c r="G505" s="174"/>
      <c r="I505" s="228"/>
      <c r="J505" s="228"/>
      <c r="K505" s="228"/>
      <c r="M505" s="228"/>
      <c r="N505" s="228"/>
      <c r="O505" s="228"/>
      <c r="Q505" s="228"/>
      <c r="R505" s="228"/>
      <c r="S505" s="228"/>
      <c r="T505" s="228"/>
      <c r="U505" s="174"/>
      <c r="V505" s="174"/>
      <c r="Y505" s="174"/>
    </row>
    <row r="506" spans="5:25" ht="12.75">
      <c r="E506" s="228"/>
      <c r="F506" s="228"/>
      <c r="G506" s="174"/>
      <c r="I506" s="228"/>
      <c r="J506" s="228"/>
      <c r="K506" s="228"/>
      <c r="M506" s="228"/>
      <c r="N506" s="228"/>
      <c r="O506" s="228"/>
      <c r="Q506" s="228"/>
      <c r="R506" s="228"/>
      <c r="S506" s="228"/>
      <c r="T506" s="228"/>
      <c r="U506" s="174"/>
      <c r="V506" s="174"/>
      <c r="Y506" s="174"/>
    </row>
    <row r="507" spans="5:25" ht="12.75">
      <c r="E507" s="228"/>
      <c r="F507" s="228"/>
      <c r="G507" s="174"/>
      <c r="I507" s="228"/>
      <c r="J507" s="228"/>
      <c r="K507" s="228"/>
      <c r="M507" s="228"/>
      <c r="N507" s="228"/>
      <c r="O507" s="228"/>
      <c r="Q507" s="228"/>
      <c r="R507" s="228"/>
      <c r="S507" s="228"/>
      <c r="T507" s="228"/>
      <c r="U507" s="174"/>
      <c r="V507" s="174"/>
      <c r="Y507" s="174"/>
    </row>
    <row r="508" spans="5:25" ht="12.75">
      <c r="E508" s="228"/>
      <c r="F508" s="228"/>
      <c r="G508" s="174"/>
      <c r="I508" s="228"/>
      <c r="J508" s="228"/>
      <c r="K508" s="228"/>
      <c r="M508" s="228"/>
      <c r="N508" s="228"/>
      <c r="O508" s="228"/>
      <c r="Q508" s="228"/>
      <c r="R508" s="228"/>
      <c r="S508" s="228"/>
      <c r="T508" s="228"/>
      <c r="U508" s="174"/>
      <c r="V508" s="174"/>
      <c r="Y508" s="174"/>
    </row>
    <row r="509" spans="5:25" ht="12.75">
      <c r="E509" s="228"/>
      <c r="F509" s="228"/>
      <c r="G509" s="174"/>
      <c r="I509" s="228"/>
      <c r="J509" s="228"/>
      <c r="K509" s="228"/>
      <c r="M509" s="228"/>
      <c r="N509" s="228"/>
      <c r="O509" s="228"/>
      <c r="Q509" s="228"/>
      <c r="R509" s="228"/>
      <c r="S509" s="228"/>
      <c r="T509" s="228"/>
      <c r="U509" s="174"/>
      <c r="V509" s="174"/>
      <c r="Y509" s="174"/>
    </row>
    <row r="510" spans="5:25" ht="12.75">
      <c r="E510" s="228"/>
      <c r="F510" s="228"/>
      <c r="G510" s="174"/>
      <c r="I510" s="228"/>
      <c r="J510" s="228"/>
      <c r="K510" s="228"/>
      <c r="M510" s="228"/>
      <c r="N510" s="228"/>
      <c r="O510" s="228"/>
      <c r="Q510" s="228"/>
      <c r="R510" s="228"/>
      <c r="S510" s="228"/>
      <c r="T510" s="228"/>
      <c r="U510" s="174"/>
      <c r="V510" s="174"/>
      <c r="Y510" s="174"/>
    </row>
    <row r="511" spans="5:25" ht="12.75">
      <c r="E511" s="228"/>
      <c r="F511" s="228"/>
      <c r="G511" s="174"/>
      <c r="I511" s="228"/>
      <c r="J511" s="228"/>
      <c r="K511" s="228"/>
      <c r="M511" s="228"/>
      <c r="N511" s="228"/>
      <c r="O511" s="228"/>
      <c r="Q511" s="228"/>
      <c r="R511" s="228"/>
      <c r="S511" s="228"/>
      <c r="T511" s="228"/>
      <c r="U511" s="174"/>
      <c r="V511" s="174"/>
      <c r="Y511" s="174"/>
    </row>
    <row r="512" spans="5:25" ht="12.75">
      <c r="E512" s="228"/>
      <c r="F512" s="228"/>
      <c r="G512" s="174"/>
      <c r="I512" s="228"/>
      <c r="J512" s="228"/>
      <c r="K512" s="228"/>
      <c r="M512" s="228"/>
      <c r="N512" s="228"/>
      <c r="O512" s="228"/>
      <c r="Q512" s="228"/>
      <c r="R512" s="228"/>
      <c r="S512" s="228"/>
      <c r="T512" s="228"/>
      <c r="U512" s="174"/>
      <c r="V512" s="174"/>
      <c r="Y512" s="174"/>
    </row>
    <row r="513" spans="5:25" ht="12.75">
      <c r="E513" s="228"/>
      <c r="F513" s="228"/>
      <c r="G513" s="174"/>
      <c r="I513" s="228"/>
      <c r="J513" s="228"/>
      <c r="K513" s="228"/>
      <c r="M513" s="228"/>
      <c r="N513" s="228"/>
      <c r="O513" s="228"/>
      <c r="Q513" s="228"/>
      <c r="R513" s="228"/>
      <c r="S513" s="228"/>
      <c r="T513" s="228"/>
      <c r="U513" s="174"/>
      <c r="V513" s="174"/>
      <c r="Y513" s="174"/>
    </row>
    <row r="514" spans="5:25" ht="12.75">
      <c r="E514" s="228"/>
      <c r="F514" s="228"/>
      <c r="G514" s="174"/>
      <c r="I514" s="228"/>
      <c r="J514" s="228"/>
      <c r="K514" s="228"/>
      <c r="M514" s="228"/>
      <c r="N514" s="228"/>
      <c r="O514" s="228"/>
      <c r="Q514" s="228"/>
      <c r="R514" s="228"/>
      <c r="S514" s="228"/>
      <c r="T514" s="228"/>
      <c r="U514" s="174"/>
      <c r="V514" s="174"/>
      <c r="Y514" s="174"/>
    </row>
    <row r="515" spans="5:25" ht="12.75">
      <c r="E515" s="228"/>
      <c r="F515" s="228"/>
      <c r="G515" s="174"/>
      <c r="I515" s="228"/>
      <c r="J515" s="228"/>
      <c r="K515" s="228"/>
      <c r="M515" s="228"/>
      <c r="N515" s="228"/>
      <c r="O515" s="228"/>
      <c r="Q515" s="228"/>
      <c r="R515" s="228"/>
      <c r="S515" s="228"/>
      <c r="T515" s="228"/>
      <c r="U515" s="174"/>
      <c r="V515" s="174"/>
      <c r="Y515" s="174"/>
    </row>
    <row r="516" spans="5:25" ht="12.75">
      <c r="E516" s="228"/>
      <c r="F516" s="228"/>
      <c r="G516" s="174"/>
      <c r="I516" s="228"/>
      <c r="J516" s="228"/>
      <c r="K516" s="228"/>
      <c r="M516" s="228"/>
      <c r="N516" s="228"/>
      <c r="O516" s="228"/>
      <c r="Q516" s="228"/>
      <c r="R516" s="228"/>
      <c r="S516" s="228"/>
      <c r="T516" s="228"/>
      <c r="U516" s="174"/>
      <c r="V516" s="174"/>
      <c r="Y516" s="174"/>
    </row>
    <row r="517" spans="5:25" ht="12.75">
      <c r="E517" s="228"/>
      <c r="F517" s="228"/>
      <c r="G517" s="174"/>
      <c r="I517" s="228"/>
      <c r="J517" s="228"/>
      <c r="K517" s="228"/>
      <c r="M517" s="228"/>
      <c r="N517" s="228"/>
      <c r="O517" s="228"/>
      <c r="Q517" s="228"/>
      <c r="R517" s="228"/>
      <c r="S517" s="228"/>
      <c r="T517" s="228"/>
      <c r="U517" s="174"/>
      <c r="V517" s="174"/>
      <c r="Y517" s="174"/>
    </row>
    <row r="518" spans="5:25" ht="12.75">
      <c r="E518" s="228"/>
      <c r="F518" s="228"/>
      <c r="G518" s="174"/>
      <c r="I518" s="228"/>
      <c r="J518" s="228"/>
      <c r="K518" s="228"/>
      <c r="M518" s="228"/>
      <c r="N518" s="228"/>
      <c r="O518" s="228"/>
      <c r="Q518" s="228"/>
      <c r="R518" s="228"/>
      <c r="S518" s="228"/>
      <c r="T518" s="228"/>
      <c r="U518" s="174"/>
      <c r="V518" s="174"/>
      <c r="Y518" s="174"/>
    </row>
    <row r="519" spans="5:25" ht="12.75">
      <c r="E519" s="228"/>
      <c r="F519" s="228"/>
      <c r="G519" s="174"/>
      <c r="I519" s="228"/>
      <c r="J519" s="228"/>
      <c r="K519" s="228"/>
      <c r="M519" s="228"/>
      <c r="N519" s="228"/>
      <c r="O519" s="228"/>
      <c r="Q519" s="228"/>
      <c r="R519" s="228"/>
      <c r="S519" s="228"/>
      <c r="T519" s="228"/>
      <c r="U519" s="174"/>
      <c r="V519" s="174"/>
      <c r="Y519" s="174"/>
    </row>
    <row r="520" spans="5:25" ht="12.75">
      <c r="E520" s="228"/>
      <c r="F520" s="228"/>
      <c r="G520" s="174"/>
      <c r="I520" s="228"/>
      <c r="J520" s="228"/>
      <c r="K520" s="228"/>
      <c r="M520" s="228"/>
      <c r="N520" s="228"/>
      <c r="O520" s="228"/>
      <c r="Q520" s="228"/>
      <c r="R520" s="228"/>
      <c r="S520" s="228"/>
      <c r="T520" s="228"/>
      <c r="U520" s="174"/>
      <c r="V520" s="174"/>
      <c r="Y520" s="174"/>
    </row>
    <row r="521" spans="5:25" ht="12.75">
      <c r="E521" s="228"/>
      <c r="F521" s="228"/>
      <c r="G521" s="174"/>
      <c r="I521" s="228"/>
      <c r="J521" s="228"/>
      <c r="K521" s="228"/>
      <c r="M521" s="228"/>
      <c r="N521" s="228"/>
      <c r="O521" s="228"/>
      <c r="Q521" s="228"/>
      <c r="R521" s="228"/>
      <c r="S521" s="228"/>
      <c r="T521" s="228"/>
      <c r="U521" s="174"/>
      <c r="V521" s="174"/>
      <c r="Y521" s="174"/>
    </row>
    <row r="522" spans="5:25" ht="12.75">
      <c r="E522" s="228"/>
      <c r="F522" s="228"/>
      <c r="G522" s="174"/>
      <c r="I522" s="228"/>
      <c r="J522" s="228"/>
      <c r="K522" s="228"/>
      <c r="M522" s="228"/>
      <c r="N522" s="228"/>
      <c r="O522" s="228"/>
      <c r="Q522" s="228"/>
      <c r="R522" s="228"/>
      <c r="S522" s="228"/>
      <c r="T522" s="228"/>
      <c r="U522" s="174"/>
      <c r="V522" s="174"/>
      <c r="Y522" s="174"/>
    </row>
    <row r="523" spans="7:25" ht="12.75">
      <c r="G523" s="174"/>
      <c r="U523" s="174"/>
      <c r="V523" s="174"/>
      <c r="Y523" s="174"/>
    </row>
    <row r="524" spans="7:25" ht="12.75">
      <c r="G524" s="174"/>
      <c r="U524" s="174"/>
      <c r="V524" s="174"/>
      <c r="Y524" s="174"/>
    </row>
    <row r="525" spans="7:25" ht="12.75">
      <c r="G525" s="174"/>
      <c r="U525" s="174"/>
      <c r="V525" s="174"/>
      <c r="Y525" s="174"/>
    </row>
    <row r="526" spans="7:25" ht="12.75">
      <c r="G526" s="174"/>
      <c r="U526" s="174"/>
      <c r="V526" s="174"/>
      <c r="Y526" s="174"/>
    </row>
    <row r="527" spans="7:25" ht="12.75">
      <c r="G527" s="174"/>
      <c r="U527" s="174"/>
      <c r="V527" s="174"/>
      <c r="Y527" s="174"/>
    </row>
    <row r="528" spans="7:25" ht="12.75">
      <c r="G528" s="174"/>
      <c r="U528" s="174"/>
      <c r="V528" s="174"/>
      <c r="Y528" s="174"/>
    </row>
    <row r="529" spans="7:25" ht="12.75">
      <c r="G529" s="174"/>
      <c r="U529" s="174"/>
      <c r="V529" s="174"/>
      <c r="Y529" s="174"/>
    </row>
    <row r="530" spans="7:25" ht="12.75">
      <c r="G530" s="174"/>
      <c r="U530" s="174"/>
      <c r="V530" s="174"/>
      <c r="Y530" s="174"/>
    </row>
    <row r="531" spans="7:25" ht="12.75">
      <c r="G531" s="174"/>
      <c r="U531" s="174"/>
      <c r="V531" s="174"/>
      <c r="Y531" s="174"/>
    </row>
    <row r="532" spans="7:25" ht="12.75">
      <c r="G532" s="174"/>
      <c r="U532" s="174"/>
      <c r="V532" s="174"/>
      <c r="Y532" s="174"/>
    </row>
    <row r="533" spans="7:25" ht="12.75">
      <c r="G533" s="174"/>
      <c r="U533" s="174"/>
      <c r="V533" s="174"/>
      <c r="Y533" s="174"/>
    </row>
    <row r="534" spans="7:25" ht="12.75">
      <c r="G534" s="174"/>
      <c r="U534" s="174"/>
      <c r="V534" s="174"/>
      <c r="Y534" s="174"/>
    </row>
    <row r="535" spans="7:25" ht="12.75">
      <c r="G535" s="174"/>
      <c r="U535" s="174"/>
      <c r="V535" s="174"/>
      <c r="Y535" s="174"/>
    </row>
    <row r="536" spans="7:25" ht="12.75">
      <c r="G536" s="174"/>
      <c r="U536" s="174"/>
      <c r="V536" s="174"/>
      <c r="Y536" s="174"/>
    </row>
    <row r="537" spans="7:25" ht="12.75">
      <c r="G537" s="174"/>
      <c r="U537" s="174"/>
      <c r="V537" s="174"/>
      <c r="Y537" s="174"/>
    </row>
    <row r="538" spans="7:25" ht="12.75">
      <c r="G538" s="174"/>
      <c r="U538" s="174"/>
      <c r="V538" s="174"/>
      <c r="Y538" s="174"/>
    </row>
    <row r="539" spans="7:25" ht="12.75">
      <c r="G539" s="174"/>
      <c r="U539" s="174"/>
      <c r="V539" s="174"/>
      <c r="Y539" s="174"/>
    </row>
    <row r="540" spans="7:25" ht="12.75">
      <c r="G540" s="174"/>
      <c r="U540" s="174"/>
      <c r="V540" s="174"/>
      <c r="Y540" s="174"/>
    </row>
    <row r="541" spans="7:25" ht="12.75">
      <c r="G541" s="174"/>
      <c r="U541" s="174"/>
      <c r="V541" s="174"/>
      <c r="Y541" s="174"/>
    </row>
    <row r="542" spans="7:25" ht="12.75">
      <c r="G542" s="174"/>
      <c r="U542" s="174"/>
      <c r="V542" s="174"/>
      <c r="Y542" s="174"/>
    </row>
    <row r="543" spans="7:25" ht="12.75">
      <c r="G543" s="174"/>
      <c r="U543" s="174"/>
      <c r="V543" s="174"/>
      <c r="Y543" s="174"/>
    </row>
    <row r="544" spans="7:25" ht="12.75">
      <c r="G544" s="174"/>
      <c r="U544" s="174"/>
      <c r="V544" s="174"/>
      <c r="Y544" s="174"/>
    </row>
    <row r="545" spans="7:25" ht="12.75">
      <c r="G545" s="174"/>
      <c r="U545" s="174"/>
      <c r="V545" s="174"/>
      <c r="Y545" s="174"/>
    </row>
    <row r="546" spans="7:25" ht="12.75">
      <c r="G546" s="174"/>
      <c r="U546" s="174"/>
      <c r="V546" s="174"/>
      <c r="Y546" s="174"/>
    </row>
    <row r="547" spans="7:25" ht="12.75">
      <c r="G547" s="174"/>
      <c r="U547" s="174"/>
      <c r="V547" s="174"/>
      <c r="Y547" s="174"/>
    </row>
    <row r="548" spans="7:25" ht="12.75">
      <c r="G548" s="174"/>
      <c r="U548" s="174"/>
      <c r="V548" s="174"/>
      <c r="Y548" s="174"/>
    </row>
    <row r="549" spans="7:25" ht="12.75">
      <c r="G549" s="174"/>
      <c r="U549" s="174"/>
      <c r="V549" s="174"/>
      <c r="Y549" s="174"/>
    </row>
    <row r="550" spans="7:25" ht="12.75">
      <c r="G550" s="174"/>
      <c r="U550" s="174"/>
      <c r="V550" s="174"/>
      <c r="Y550" s="174"/>
    </row>
    <row r="551" spans="7:25" ht="12.75">
      <c r="G551" s="174"/>
      <c r="U551" s="174"/>
      <c r="V551" s="174"/>
      <c r="Y551" s="174"/>
    </row>
    <row r="552" spans="7:25" ht="12.75">
      <c r="G552" s="174"/>
      <c r="U552" s="174"/>
      <c r="V552" s="174"/>
      <c r="Y552" s="174"/>
    </row>
    <row r="553" spans="7:25" ht="12.75">
      <c r="G553" s="174"/>
      <c r="U553" s="174"/>
      <c r="V553" s="174"/>
      <c r="Y553" s="174"/>
    </row>
    <row r="554" spans="7:25" ht="12.75">
      <c r="G554" s="174"/>
      <c r="U554" s="174"/>
      <c r="V554" s="174"/>
      <c r="Y554" s="174"/>
    </row>
    <row r="555" spans="7:25" ht="12.75">
      <c r="G555" s="174"/>
      <c r="U555" s="174"/>
      <c r="V555" s="174"/>
      <c r="Y555" s="174"/>
    </row>
    <row r="556" spans="7:25" ht="12.75">
      <c r="G556" s="174"/>
      <c r="U556" s="174"/>
      <c r="V556" s="174"/>
      <c r="Y556" s="174"/>
    </row>
    <row r="557" spans="7:25" ht="12.75">
      <c r="G557" s="174"/>
      <c r="U557" s="174"/>
      <c r="V557" s="174"/>
      <c r="Y557" s="174"/>
    </row>
    <row r="558" spans="7:25" ht="12.75">
      <c r="G558" s="174"/>
      <c r="U558" s="174"/>
      <c r="V558" s="174"/>
      <c r="Y558" s="174"/>
    </row>
    <row r="559" spans="7:25" ht="12.75">
      <c r="G559" s="174"/>
      <c r="U559" s="174"/>
      <c r="V559" s="174"/>
      <c r="Y559" s="174"/>
    </row>
    <row r="560" spans="7:25" ht="12.75">
      <c r="G560" s="174"/>
      <c r="U560" s="174"/>
      <c r="V560" s="174"/>
      <c r="Y560" s="174"/>
    </row>
    <row r="561" spans="7:25" ht="12.75">
      <c r="G561" s="174"/>
      <c r="U561" s="174"/>
      <c r="V561" s="174"/>
      <c r="Y561" s="174"/>
    </row>
    <row r="562" spans="7:25" ht="12.75">
      <c r="G562" s="174"/>
      <c r="U562" s="174"/>
      <c r="V562" s="174"/>
      <c r="Y562" s="174"/>
    </row>
    <row r="563" spans="7:25" ht="12.75">
      <c r="G563" s="174"/>
      <c r="U563" s="174"/>
      <c r="V563" s="174"/>
      <c r="Y563" s="174"/>
    </row>
    <row r="564" spans="7:25" ht="12.75">
      <c r="G564" s="174"/>
      <c r="U564" s="174"/>
      <c r="V564" s="174"/>
      <c r="Y564" s="174"/>
    </row>
    <row r="565" spans="7:25" ht="12.75">
      <c r="G565" s="174"/>
      <c r="U565" s="174"/>
      <c r="V565" s="174"/>
      <c r="Y565" s="174"/>
    </row>
    <row r="566" spans="7:25" ht="12.75">
      <c r="G566" s="174"/>
      <c r="U566" s="174"/>
      <c r="V566" s="174"/>
      <c r="Y566" s="174"/>
    </row>
    <row r="567" spans="7:25" ht="12.75">
      <c r="G567" s="174"/>
      <c r="U567" s="174"/>
      <c r="V567" s="174"/>
      <c r="Y567" s="174"/>
    </row>
    <row r="568" spans="7:25" ht="12.75">
      <c r="G568" s="174"/>
      <c r="U568" s="174"/>
      <c r="V568" s="174"/>
      <c r="Y568" s="174"/>
    </row>
    <row r="569" spans="7:25" ht="12.75">
      <c r="G569" s="174"/>
      <c r="U569" s="174"/>
      <c r="V569" s="174"/>
      <c r="Y569" s="174"/>
    </row>
    <row r="570" spans="7:25" ht="12.75">
      <c r="G570" s="174"/>
      <c r="U570" s="174"/>
      <c r="V570" s="174"/>
      <c r="Y570" s="174"/>
    </row>
    <row r="571" spans="7:25" ht="12.75">
      <c r="G571" s="174"/>
      <c r="U571" s="174"/>
      <c r="V571" s="174"/>
      <c r="Y571" s="174"/>
    </row>
    <row r="572" spans="7:25" ht="12.75">
      <c r="G572" s="174"/>
      <c r="U572" s="174"/>
      <c r="V572" s="174"/>
      <c r="Y572" s="174"/>
    </row>
    <row r="573" spans="7:25" ht="12.75">
      <c r="G573" s="174"/>
      <c r="U573" s="174"/>
      <c r="V573" s="174"/>
      <c r="Y573" s="174"/>
    </row>
    <row r="574" spans="7:25" ht="12.75">
      <c r="G574" s="174"/>
      <c r="U574" s="174"/>
      <c r="V574" s="174"/>
      <c r="Y574" s="174"/>
    </row>
    <row r="575" spans="7:25" ht="12.75">
      <c r="G575" s="174"/>
      <c r="U575" s="174"/>
      <c r="V575" s="174"/>
      <c r="Y575" s="174"/>
    </row>
    <row r="576" spans="7:25" ht="12.75">
      <c r="G576" s="174"/>
      <c r="U576" s="174"/>
      <c r="V576" s="174"/>
      <c r="Y576" s="174"/>
    </row>
    <row r="577" spans="7:25" ht="12.75">
      <c r="G577" s="174"/>
      <c r="U577" s="174"/>
      <c r="V577" s="174"/>
      <c r="Y577" s="174"/>
    </row>
    <row r="578" spans="7:25" ht="12.75">
      <c r="G578" s="174"/>
      <c r="U578" s="174"/>
      <c r="V578" s="174"/>
      <c r="Y578" s="174"/>
    </row>
    <row r="579" spans="7:25" ht="12.75">
      <c r="G579" s="174"/>
      <c r="U579" s="174"/>
      <c r="V579" s="174"/>
      <c r="Y579" s="174"/>
    </row>
    <row r="580" spans="7:25" ht="12.75">
      <c r="G580" s="174"/>
      <c r="U580" s="174"/>
      <c r="V580" s="174"/>
      <c r="Y580" s="174"/>
    </row>
    <row r="581" spans="7:25" ht="12.75">
      <c r="G581" s="174"/>
      <c r="U581" s="174"/>
      <c r="V581" s="174"/>
      <c r="Y581" s="174"/>
    </row>
    <row r="582" spans="7:25" ht="12.75">
      <c r="G582" s="174"/>
      <c r="U582" s="174"/>
      <c r="V582" s="174"/>
      <c r="Y582" s="174"/>
    </row>
    <row r="583" spans="7:25" ht="12.75">
      <c r="G583" s="174"/>
      <c r="U583" s="174"/>
      <c r="V583" s="174"/>
      <c r="Y583" s="174"/>
    </row>
    <row r="584" spans="7:25" ht="12.75">
      <c r="G584" s="174"/>
      <c r="U584" s="174"/>
      <c r="V584" s="174"/>
      <c r="Y584" s="174"/>
    </row>
    <row r="585" spans="7:25" ht="12.75">
      <c r="G585" s="174"/>
      <c r="U585" s="174"/>
      <c r="V585" s="174"/>
      <c r="Y585" s="174"/>
    </row>
    <row r="586" spans="7:25" ht="12.75">
      <c r="G586" s="174"/>
      <c r="U586" s="174"/>
      <c r="V586" s="174"/>
      <c r="Y586" s="174"/>
    </row>
    <row r="587" spans="7:25" ht="12.75">
      <c r="G587" s="174"/>
      <c r="U587" s="174"/>
      <c r="V587" s="174"/>
      <c r="Y587" s="174"/>
    </row>
    <row r="588" spans="7:25" ht="12.75">
      <c r="G588" s="174"/>
      <c r="U588" s="174"/>
      <c r="V588" s="174"/>
      <c r="Y588" s="174"/>
    </row>
    <row r="589" spans="7:25" ht="12.75">
      <c r="G589" s="174"/>
      <c r="U589" s="174"/>
      <c r="V589" s="174"/>
      <c r="Y589" s="174"/>
    </row>
    <row r="590" spans="7:25" ht="12.75">
      <c r="G590" s="174"/>
      <c r="U590" s="174"/>
      <c r="V590" s="174"/>
      <c r="Y590" s="174"/>
    </row>
    <row r="591" spans="7:25" ht="12.75">
      <c r="G591" s="174"/>
      <c r="U591" s="174"/>
      <c r="V591" s="174"/>
      <c r="Y591" s="174"/>
    </row>
    <row r="592" spans="7:25" ht="12.75">
      <c r="G592" s="174"/>
      <c r="U592" s="174"/>
      <c r="V592" s="174"/>
      <c r="Y592" s="174"/>
    </row>
    <row r="593" spans="7:25" ht="12.75">
      <c r="G593" s="174"/>
      <c r="U593" s="174"/>
      <c r="V593" s="174"/>
      <c r="Y593" s="174"/>
    </row>
    <row r="594" spans="7:25" ht="12.75">
      <c r="G594" s="174"/>
      <c r="U594" s="174"/>
      <c r="V594" s="174"/>
      <c r="Y594" s="174"/>
    </row>
    <row r="595" spans="7:25" ht="12.75">
      <c r="G595" s="174"/>
      <c r="U595" s="174"/>
      <c r="V595" s="174"/>
      <c r="Y595" s="174"/>
    </row>
    <row r="596" spans="7:25" ht="12.75">
      <c r="G596" s="174"/>
      <c r="U596" s="174"/>
      <c r="V596" s="174"/>
      <c r="Y596" s="174"/>
    </row>
    <row r="597" spans="7:25" ht="12.75">
      <c r="G597" s="174"/>
      <c r="U597" s="174"/>
      <c r="V597" s="174"/>
      <c r="Y597" s="174"/>
    </row>
    <row r="598" spans="7:25" ht="12.75">
      <c r="G598" s="174"/>
      <c r="U598" s="174"/>
      <c r="V598" s="174"/>
      <c r="Y598" s="174"/>
    </row>
    <row r="599" spans="7:25" ht="12.75">
      <c r="G599" s="174"/>
      <c r="U599" s="174"/>
      <c r="V599" s="174"/>
      <c r="Y599" s="174"/>
    </row>
    <row r="600" spans="7:25" ht="12.75">
      <c r="G600" s="174"/>
      <c r="U600" s="174"/>
      <c r="V600" s="174"/>
      <c r="Y600" s="174"/>
    </row>
    <row r="601" spans="7:25" ht="12.75">
      <c r="G601" s="174"/>
      <c r="U601" s="174"/>
      <c r="V601" s="174"/>
      <c r="Y601" s="174"/>
    </row>
    <row r="602" spans="7:25" ht="12.75">
      <c r="G602" s="174"/>
      <c r="U602" s="174"/>
      <c r="V602" s="174"/>
      <c r="Y602" s="174"/>
    </row>
    <row r="603" spans="7:25" ht="12.75">
      <c r="G603" s="174"/>
      <c r="U603" s="174"/>
      <c r="V603" s="174"/>
      <c r="Y603" s="174"/>
    </row>
    <row r="604" spans="7:25" ht="12.75">
      <c r="G604" s="174"/>
      <c r="U604" s="174"/>
      <c r="V604" s="174"/>
      <c r="Y604" s="174"/>
    </row>
    <row r="605" spans="7:25" ht="12.75">
      <c r="G605" s="174"/>
      <c r="U605" s="174"/>
      <c r="V605" s="174"/>
      <c r="Y605" s="174"/>
    </row>
    <row r="606" spans="7:25" ht="12.75">
      <c r="G606" s="174"/>
      <c r="U606" s="174"/>
      <c r="V606" s="174"/>
      <c r="Y606" s="174"/>
    </row>
    <row r="607" spans="7:25" ht="12.75">
      <c r="G607" s="174"/>
      <c r="U607" s="174"/>
      <c r="V607" s="174"/>
      <c r="Y607" s="174"/>
    </row>
    <row r="608" spans="7:25" ht="12.75">
      <c r="G608" s="174"/>
      <c r="U608" s="174"/>
      <c r="V608" s="174"/>
      <c r="Y608" s="174"/>
    </row>
    <row r="609" spans="7:25" ht="12.75">
      <c r="G609" s="174"/>
      <c r="U609" s="174"/>
      <c r="V609" s="174"/>
      <c r="Y609" s="174"/>
    </row>
    <row r="610" spans="7:25" ht="12.75">
      <c r="G610" s="174"/>
      <c r="U610" s="174"/>
      <c r="V610" s="174"/>
      <c r="Y610" s="174"/>
    </row>
    <row r="611" spans="7:25" ht="12.75">
      <c r="G611" s="174"/>
      <c r="U611" s="174"/>
      <c r="V611" s="174"/>
      <c r="Y611" s="174"/>
    </row>
    <row r="612" spans="7:25" ht="12.75">
      <c r="G612" s="174"/>
      <c r="U612" s="174"/>
      <c r="V612" s="174"/>
      <c r="Y612" s="174"/>
    </row>
    <row r="613" spans="7:25" ht="12.75">
      <c r="G613" s="174"/>
      <c r="U613" s="174"/>
      <c r="V613" s="174"/>
      <c r="Y613" s="174"/>
    </row>
    <row r="614" spans="7:25" ht="12.75">
      <c r="G614" s="174"/>
      <c r="U614" s="174"/>
      <c r="V614" s="174"/>
      <c r="Y614" s="174"/>
    </row>
    <row r="615" spans="7:25" ht="12.75">
      <c r="G615" s="174"/>
      <c r="U615" s="174"/>
      <c r="V615" s="174"/>
      <c r="Y615" s="174"/>
    </row>
    <row r="616" spans="7:25" ht="12.75">
      <c r="G616" s="174"/>
      <c r="U616" s="174"/>
      <c r="V616" s="174"/>
      <c r="Y616" s="174"/>
    </row>
    <row r="617" spans="7:25" ht="12.75">
      <c r="G617" s="174"/>
      <c r="U617" s="174"/>
      <c r="V617" s="174"/>
      <c r="Y617" s="174"/>
    </row>
    <row r="618" spans="7:25" ht="12.75">
      <c r="G618" s="174"/>
      <c r="U618" s="174"/>
      <c r="V618" s="174"/>
      <c r="Y618" s="174"/>
    </row>
    <row r="619" spans="7:25" ht="12.75">
      <c r="G619" s="174"/>
      <c r="U619" s="174"/>
      <c r="V619" s="174"/>
      <c r="Y619" s="174"/>
    </row>
    <row r="620" spans="7:25" ht="12.75">
      <c r="G620" s="174"/>
      <c r="U620" s="174"/>
      <c r="V620" s="174"/>
      <c r="Y620" s="174"/>
    </row>
    <row r="621" spans="7:25" ht="12.75">
      <c r="G621" s="174"/>
      <c r="U621" s="174"/>
      <c r="V621" s="174"/>
      <c r="Y621" s="174"/>
    </row>
    <row r="622" spans="7:25" ht="12.75">
      <c r="G622" s="174"/>
      <c r="U622" s="174"/>
      <c r="V622" s="174"/>
      <c r="Y622" s="174"/>
    </row>
    <row r="623" spans="7:25" ht="12.75">
      <c r="G623" s="174"/>
      <c r="U623" s="174"/>
      <c r="V623" s="174"/>
      <c r="Y623" s="174"/>
    </row>
    <row r="624" spans="7:25" ht="12.75">
      <c r="G624" s="174"/>
      <c r="U624" s="174"/>
      <c r="V624" s="174"/>
      <c r="Y624" s="174"/>
    </row>
    <row r="625" spans="7:25" ht="12.75">
      <c r="G625" s="174"/>
      <c r="U625" s="174"/>
      <c r="V625" s="174"/>
      <c r="Y625" s="174"/>
    </row>
    <row r="626" spans="7:25" ht="12.75">
      <c r="G626" s="174"/>
      <c r="U626" s="174"/>
      <c r="V626" s="174"/>
      <c r="Y626" s="174"/>
    </row>
    <row r="627" spans="7:25" ht="12.75">
      <c r="G627" s="174"/>
      <c r="U627" s="174"/>
      <c r="V627" s="174"/>
      <c r="Y627" s="174"/>
    </row>
    <row r="628" spans="7:25" ht="12.75">
      <c r="G628" s="174"/>
      <c r="U628" s="174"/>
      <c r="V628" s="174"/>
      <c r="Y628" s="174"/>
    </row>
    <row r="629" spans="7:25" ht="12.75">
      <c r="G629" s="174"/>
      <c r="U629" s="174"/>
      <c r="V629" s="174"/>
      <c r="Y629" s="174"/>
    </row>
    <row r="630" spans="7:25" ht="12.75">
      <c r="G630" s="174"/>
      <c r="U630" s="174"/>
      <c r="V630" s="174"/>
      <c r="Y630" s="174"/>
    </row>
    <row r="631" spans="7:25" ht="12.75">
      <c r="G631" s="174"/>
      <c r="U631" s="174"/>
      <c r="V631" s="174"/>
      <c r="Y631" s="174"/>
    </row>
    <row r="632" spans="7:25" ht="12.75">
      <c r="G632" s="174"/>
      <c r="U632" s="174"/>
      <c r="V632" s="174"/>
      <c r="Y632" s="174"/>
    </row>
    <row r="633" spans="7:25" ht="12.75">
      <c r="G633" s="174"/>
      <c r="U633" s="174"/>
      <c r="V633" s="174"/>
      <c r="Y633" s="174"/>
    </row>
    <row r="634" spans="7:25" ht="12.75">
      <c r="G634" s="174"/>
      <c r="U634" s="174"/>
      <c r="V634" s="174"/>
      <c r="Y634" s="174"/>
    </row>
    <row r="635" spans="7:25" ht="12.75">
      <c r="G635" s="174"/>
      <c r="U635" s="174"/>
      <c r="V635" s="174"/>
      <c r="Y635" s="174"/>
    </row>
    <row r="636" spans="7:25" ht="12.75">
      <c r="G636" s="174"/>
      <c r="U636" s="174"/>
      <c r="V636" s="174"/>
      <c r="Y636" s="174"/>
    </row>
    <row r="637" spans="7:25" ht="12.75">
      <c r="G637" s="174"/>
      <c r="U637" s="174"/>
      <c r="V637" s="174"/>
      <c r="Y637" s="174"/>
    </row>
    <row r="638" spans="7:25" ht="12.75">
      <c r="G638" s="174"/>
      <c r="U638" s="174"/>
      <c r="V638" s="174"/>
      <c r="Y638" s="174"/>
    </row>
    <row r="639" spans="7:25" ht="12.75">
      <c r="G639" s="174"/>
      <c r="U639" s="174"/>
      <c r="V639" s="174"/>
      <c r="Y639" s="174"/>
    </row>
    <row r="640" spans="7:25" ht="12.75">
      <c r="G640" s="174"/>
      <c r="U640" s="174"/>
      <c r="V640" s="174"/>
      <c r="Y640" s="174"/>
    </row>
    <row r="641" spans="7:25" ht="12.75">
      <c r="G641" s="174"/>
      <c r="U641" s="174"/>
      <c r="V641" s="174"/>
      <c r="Y641" s="174"/>
    </row>
    <row r="642" spans="7:25" ht="12.75">
      <c r="G642" s="174"/>
      <c r="U642" s="174"/>
      <c r="V642" s="174"/>
      <c r="Y642" s="174"/>
    </row>
    <row r="643" spans="7:25" ht="12.75">
      <c r="G643" s="174"/>
      <c r="U643" s="174"/>
      <c r="V643" s="174"/>
      <c r="Y643" s="174"/>
    </row>
    <row r="644" spans="7:25" ht="12.75">
      <c r="G644" s="174"/>
      <c r="U644" s="174"/>
      <c r="V644" s="174"/>
      <c r="Y644" s="174"/>
    </row>
    <row r="645" spans="7:25" ht="12.75">
      <c r="G645" s="174"/>
      <c r="U645" s="174"/>
      <c r="V645" s="174"/>
      <c r="Y645" s="174"/>
    </row>
    <row r="646" spans="7:25" ht="12.75">
      <c r="G646" s="174"/>
      <c r="U646" s="174"/>
      <c r="V646" s="174"/>
      <c r="Y646" s="174"/>
    </row>
    <row r="647" spans="7:25" ht="12.75">
      <c r="G647" s="174"/>
      <c r="U647" s="174"/>
      <c r="V647" s="174"/>
      <c r="Y647" s="174"/>
    </row>
    <row r="648" spans="7:25" ht="12.75">
      <c r="G648" s="174"/>
      <c r="U648" s="174"/>
      <c r="V648" s="174"/>
      <c r="Y648" s="174"/>
    </row>
    <row r="649" spans="7:25" ht="12.75">
      <c r="G649" s="174"/>
      <c r="U649" s="174"/>
      <c r="V649" s="174"/>
      <c r="Y649" s="174"/>
    </row>
    <row r="650" spans="7:25" ht="12.75">
      <c r="G650" s="174"/>
      <c r="U650" s="174"/>
      <c r="V650" s="174"/>
      <c r="Y650" s="174"/>
    </row>
    <row r="651" spans="7:25" ht="12.75">
      <c r="G651" s="174"/>
      <c r="U651" s="174"/>
      <c r="V651" s="174"/>
      <c r="Y651" s="174"/>
    </row>
    <row r="652" spans="7:25" ht="12.75">
      <c r="G652" s="174"/>
      <c r="U652" s="174"/>
      <c r="V652" s="174"/>
      <c r="Y652" s="174"/>
    </row>
    <row r="653" spans="7:25" ht="12.75">
      <c r="G653" s="174"/>
      <c r="U653" s="174"/>
      <c r="V653" s="174"/>
      <c r="Y653" s="174"/>
    </row>
    <row r="654" spans="7:25" ht="12.75">
      <c r="G654" s="174"/>
      <c r="U654" s="174"/>
      <c r="V654" s="174"/>
      <c r="Y654" s="174"/>
    </row>
    <row r="655" spans="7:25" ht="12.75">
      <c r="G655" s="174"/>
      <c r="U655" s="174"/>
      <c r="V655" s="174"/>
      <c r="Y655" s="174"/>
    </row>
    <row r="656" spans="7:25" ht="12.75">
      <c r="G656" s="174"/>
      <c r="U656" s="174"/>
      <c r="V656" s="174"/>
      <c r="Y656" s="174"/>
    </row>
    <row r="657" spans="7:25" ht="12.75">
      <c r="G657" s="174"/>
      <c r="U657" s="174"/>
      <c r="V657" s="174"/>
      <c r="Y657" s="174"/>
    </row>
    <row r="658" spans="7:25" ht="12.75">
      <c r="G658" s="174"/>
      <c r="U658" s="174"/>
      <c r="V658" s="174"/>
      <c r="Y658" s="174"/>
    </row>
    <row r="659" spans="7:25" ht="12.75">
      <c r="G659" s="174"/>
      <c r="U659" s="174"/>
      <c r="V659" s="174"/>
      <c r="Y659" s="174"/>
    </row>
    <row r="660" spans="7:25" ht="12.75">
      <c r="G660" s="174"/>
      <c r="U660" s="174"/>
      <c r="V660" s="174"/>
      <c r="Y660" s="174"/>
    </row>
    <row r="661" spans="7:25" ht="12.75">
      <c r="G661" s="174"/>
      <c r="U661" s="174"/>
      <c r="V661" s="174"/>
      <c r="Y661" s="174"/>
    </row>
    <row r="662" spans="7:25" ht="12.75">
      <c r="G662" s="174"/>
      <c r="U662" s="174"/>
      <c r="V662" s="174"/>
      <c r="Y662" s="174"/>
    </row>
    <row r="663" spans="7:25" ht="12.75">
      <c r="G663" s="174"/>
      <c r="U663" s="174"/>
      <c r="V663" s="174"/>
      <c r="Y663" s="174"/>
    </row>
    <row r="664" spans="7:25" ht="12.75">
      <c r="G664" s="174"/>
      <c r="U664" s="174"/>
      <c r="V664" s="174"/>
      <c r="Y664" s="174"/>
    </row>
    <row r="665" spans="7:25" ht="12.75">
      <c r="G665" s="174"/>
      <c r="U665" s="174"/>
      <c r="V665" s="174"/>
      <c r="Y665" s="174"/>
    </row>
    <row r="666" spans="7:25" ht="12.75">
      <c r="G666" s="174"/>
      <c r="U666" s="174"/>
      <c r="V666" s="174"/>
      <c r="Y666" s="174"/>
    </row>
    <row r="667" spans="7:25" ht="12.75">
      <c r="G667" s="174"/>
      <c r="U667" s="174"/>
      <c r="V667" s="174"/>
      <c r="Y667" s="174"/>
    </row>
    <row r="668" spans="7:25" ht="12.75">
      <c r="G668" s="174"/>
      <c r="U668" s="174"/>
      <c r="V668" s="174"/>
      <c r="Y668" s="174"/>
    </row>
    <row r="669" spans="7:25" ht="12.75">
      <c r="G669" s="174"/>
      <c r="U669" s="174"/>
      <c r="V669" s="174"/>
      <c r="Y669" s="174"/>
    </row>
    <row r="670" spans="7:25" ht="12.75">
      <c r="G670" s="174"/>
      <c r="U670" s="174"/>
      <c r="V670" s="174"/>
      <c r="Y670" s="174"/>
    </row>
    <row r="671" spans="7:25" ht="12.75">
      <c r="G671" s="174"/>
      <c r="U671" s="174"/>
      <c r="V671" s="174"/>
      <c r="Y671" s="174"/>
    </row>
    <row r="672" spans="7:25" ht="12.75">
      <c r="G672" s="174"/>
      <c r="U672" s="174"/>
      <c r="V672" s="174"/>
      <c r="Y672" s="174"/>
    </row>
    <row r="673" spans="7:25" ht="12.75">
      <c r="G673" s="174"/>
      <c r="U673" s="174"/>
      <c r="V673" s="174"/>
      <c r="Y673" s="174"/>
    </row>
    <row r="674" spans="7:25" ht="12.75">
      <c r="G674" s="174"/>
      <c r="U674" s="174"/>
      <c r="V674" s="174"/>
      <c r="Y674" s="174"/>
    </row>
    <row r="675" spans="7:25" ht="12.75">
      <c r="G675" s="174"/>
      <c r="U675" s="174"/>
      <c r="V675" s="174"/>
      <c r="Y675" s="174"/>
    </row>
    <row r="676" spans="7:25" ht="12.75">
      <c r="G676" s="174"/>
      <c r="U676" s="174"/>
      <c r="V676" s="174"/>
      <c r="Y676" s="174"/>
    </row>
    <row r="677" spans="7:25" ht="12.75">
      <c r="G677" s="174"/>
      <c r="U677" s="174"/>
      <c r="V677" s="174"/>
      <c r="Y677" s="174"/>
    </row>
    <row r="678" spans="7:25" ht="12.75">
      <c r="G678" s="174"/>
      <c r="U678" s="174"/>
      <c r="V678" s="174"/>
      <c r="Y678" s="174"/>
    </row>
    <row r="679" spans="7:25" ht="12.75">
      <c r="G679" s="174"/>
      <c r="U679" s="174"/>
      <c r="V679" s="174"/>
      <c r="Y679" s="174"/>
    </row>
    <row r="680" spans="7:25" ht="12.75">
      <c r="G680" s="174"/>
      <c r="U680" s="174"/>
      <c r="V680" s="174"/>
      <c r="Y680" s="174"/>
    </row>
    <row r="681" spans="7:25" ht="12.75">
      <c r="G681" s="174"/>
      <c r="U681" s="174"/>
      <c r="V681" s="174"/>
      <c r="Y681" s="174"/>
    </row>
    <row r="682" spans="7:25" ht="12.75">
      <c r="G682" s="174"/>
      <c r="U682" s="174"/>
      <c r="V682" s="174"/>
      <c r="Y682" s="174"/>
    </row>
    <row r="683" spans="7:25" ht="12.75">
      <c r="G683" s="174"/>
      <c r="U683" s="174"/>
      <c r="V683" s="174"/>
      <c r="Y683" s="174"/>
    </row>
    <row r="684" spans="7:25" ht="12.75">
      <c r="G684" s="174"/>
      <c r="U684" s="174"/>
      <c r="V684" s="174"/>
      <c r="Y684" s="174"/>
    </row>
    <row r="685" spans="7:25" ht="12.75">
      <c r="G685" s="174"/>
      <c r="U685" s="174"/>
      <c r="V685" s="174"/>
      <c r="Y685" s="174"/>
    </row>
    <row r="686" spans="7:25" ht="12.75">
      <c r="G686" s="174"/>
      <c r="U686" s="174"/>
      <c r="V686" s="174"/>
      <c r="Y686" s="174"/>
    </row>
    <row r="687" spans="7:25" ht="12.75">
      <c r="G687" s="174"/>
      <c r="U687" s="174"/>
      <c r="V687" s="174"/>
      <c r="Y687" s="174"/>
    </row>
    <row r="688" spans="7:25" ht="12.75">
      <c r="G688" s="174"/>
      <c r="U688" s="174"/>
      <c r="V688" s="174"/>
      <c r="Y688" s="174"/>
    </row>
    <row r="689" spans="7:25" ht="12.75">
      <c r="G689" s="174"/>
      <c r="U689" s="174"/>
      <c r="V689" s="174"/>
      <c r="Y689" s="174"/>
    </row>
    <row r="690" spans="7:25" ht="12.75">
      <c r="G690" s="174"/>
      <c r="U690" s="174"/>
      <c r="V690" s="174"/>
      <c r="Y690" s="174"/>
    </row>
    <row r="691" spans="7:25" ht="12.75">
      <c r="G691" s="174"/>
      <c r="U691" s="174"/>
      <c r="V691" s="174"/>
      <c r="Y691" s="174"/>
    </row>
    <row r="692" spans="7:25" ht="12.75">
      <c r="G692" s="174"/>
      <c r="U692" s="174"/>
      <c r="V692" s="174"/>
      <c r="Y692" s="174"/>
    </row>
    <row r="693" spans="7:25" ht="12.75">
      <c r="G693" s="174"/>
      <c r="U693" s="174"/>
      <c r="V693" s="174"/>
      <c r="Y693" s="174"/>
    </row>
    <row r="694" spans="7:25" ht="12.75">
      <c r="G694" s="174"/>
      <c r="U694" s="174"/>
      <c r="V694" s="174"/>
      <c r="Y694" s="174"/>
    </row>
    <row r="695" spans="7:25" ht="12.75">
      <c r="G695" s="174"/>
      <c r="U695" s="174"/>
      <c r="V695" s="174"/>
      <c r="Y695" s="174"/>
    </row>
    <row r="696" spans="7:25" ht="12.75">
      <c r="G696" s="174"/>
      <c r="U696" s="174"/>
      <c r="V696" s="174"/>
      <c r="Y696" s="174"/>
    </row>
    <row r="697" spans="7:25" ht="12.75">
      <c r="G697" s="174"/>
      <c r="U697" s="174"/>
      <c r="V697" s="174"/>
      <c r="Y697" s="174"/>
    </row>
    <row r="698" spans="7:25" ht="12.75">
      <c r="G698" s="174"/>
      <c r="U698" s="174"/>
      <c r="V698" s="174"/>
      <c r="Y698" s="174"/>
    </row>
    <row r="699" spans="7:25" ht="12.75">
      <c r="G699" s="174"/>
      <c r="U699" s="174"/>
      <c r="V699" s="174"/>
      <c r="Y699" s="174"/>
    </row>
    <row r="700" spans="7:25" ht="12.75">
      <c r="G700" s="174"/>
      <c r="U700" s="174"/>
      <c r="V700" s="174"/>
      <c r="Y700" s="174"/>
    </row>
    <row r="701" spans="7:25" ht="12.75">
      <c r="G701" s="174"/>
      <c r="U701" s="174"/>
      <c r="V701" s="174"/>
      <c r="Y701" s="174"/>
    </row>
    <row r="702" spans="7:25" ht="12.75">
      <c r="G702" s="174"/>
      <c r="U702" s="174"/>
      <c r="V702" s="174"/>
      <c r="Y702" s="174"/>
    </row>
    <row r="703" spans="7:25" ht="12.75">
      <c r="G703" s="174"/>
      <c r="U703" s="174"/>
      <c r="V703" s="174"/>
      <c r="Y703" s="174"/>
    </row>
    <row r="704" spans="7:25" ht="12.75">
      <c r="G704" s="174"/>
      <c r="U704" s="174"/>
      <c r="V704" s="174"/>
      <c r="Y704" s="174"/>
    </row>
    <row r="705" spans="7:25" ht="12.75">
      <c r="G705" s="174"/>
      <c r="U705" s="174"/>
      <c r="V705" s="174"/>
      <c r="Y705" s="174"/>
    </row>
    <row r="706" spans="7:25" ht="12.75">
      <c r="G706" s="174"/>
      <c r="U706" s="174"/>
      <c r="V706" s="174"/>
      <c r="Y706" s="174"/>
    </row>
    <row r="707" spans="7:25" ht="12.75">
      <c r="G707" s="174"/>
      <c r="U707" s="174"/>
      <c r="V707" s="174"/>
      <c r="Y707" s="174"/>
    </row>
    <row r="708" spans="7:25" ht="12.75">
      <c r="G708" s="174"/>
      <c r="U708" s="174"/>
      <c r="V708" s="174"/>
      <c r="Y708" s="174"/>
    </row>
    <row r="709" spans="7:25" ht="12.75">
      <c r="G709" s="174"/>
      <c r="U709" s="174"/>
      <c r="V709" s="174"/>
      <c r="Y709" s="174"/>
    </row>
    <row r="710" spans="7:25" ht="12.75">
      <c r="G710" s="174"/>
      <c r="U710" s="174"/>
      <c r="V710" s="174"/>
      <c r="Y710" s="174"/>
    </row>
    <row r="711" spans="7:25" ht="12.75">
      <c r="G711" s="174"/>
      <c r="U711" s="174"/>
      <c r="V711" s="174"/>
      <c r="Y711" s="174"/>
    </row>
    <row r="712" spans="7:25" ht="12.75">
      <c r="G712" s="174"/>
      <c r="U712" s="174"/>
      <c r="V712" s="174"/>
      <c r="Y712" s="174"/>
    </row>
    <row r="713" spans="7:25" ht="12.75">
      <c r="G713" s="174"/>
      <c r="U713" s="174"/>
      <c r="V713" s="174"/>
      <c r="Y713" s="174"/>
    </row>
    <row r="714" spans="7:25" ht="12.75">
      <c r="G714" s="174"/>
      <c r="U714" s="174"/>
      <c r="V714" s="174"/>
      <c r="Y714" s="174"/>
    </row>
    <row r="715" spans="7:25" ht="12.75">
      <c r="G715" s="174"/>
      <c r="U715" s="174"/>
      <c r="V715" s="174"/>
      <c r="Y715" s="174"/>
    </row>
    <row r="716" spans="7:25" ht="12.75">
      <c r="G716" s="174"/>
      <c r="U716" s="174"/>
      <c r="V716" s="174"/>
      <c r="Y716" s="174"/>
    </row>
    <row r="717" spans="7:25" ht="12.75">
      <c r="G717" s="174"/>
      <c r="U717" s="174"/>
      <c r="V717" s="174"/>
      <c r="Y717" s="174"/>
    </row>
    <row r="718" spans="7:25" ht="12.75">
      <c r="G718" s="174"/>
      <c r="U718" s="174"/>
      <c r="V718" s="174"/>
      <c r="Y718" s="174"/>
    </row>
    <row r="719" spans="7:25" ht="12.75">
      <c r="G719" s="174"/>
      <c r="U719" s="174"/>
      <c r="V719" s="174"/>
      <c r="Y719" s="174"/>
    </row>
    <row r="720" spans="7:25" ht="12.75">
      <c r="G720" s="174"/>
      <c r="U720" s="174"/>
      <c r="V720" s="174"/>
      <c r="Y720" s="174"/>
    </row>
    <row r="721" spans="7:25" ht="12.75">
      <c r="G721" s="174"/>
      <c r="U721" s="174"/>
      <c r="V721" s="174"/>
      <c r="Y721" s="174"/>
    </row>
    <row r="722" spans="7:25" ht="12.75">
      <c r="G722" s="174"/>
      <c r="U722" s="174"/>
      <c r="V722" s="174"/>
      <c r="Y722" s="174"/>
    </row>
    <row r="723" spans="7:25" ht="12.75">
      <c r="G723" s="174"/>
      <c r="U723" s="174"/>
      <c r="V723" s="174"/>
      <c r="Y723" s="174"/>
    </row>
    <row r="724" spans="7:25" ht="12.75">
      <c r="G724" s="174"/>
      <c r="U724" s="174"/>
      <c r="V724" s="174"/>
      <c r="Y724" s="174"/>
    </row>
    <row r="725" spans="7:25" ht="12.75">
      <c r="G725" s="174"/>
      <c r="U725" s="174"/>
      <c r="V725" s="174"/>
      <c r="Y725" s="174"/>
    </row>
    <row r="726" spans="7:25" ht="12.75">
      <c r="G726" s="174"/>
      <c r="U726" s="174"/>
      <c r="V726" s="174"/>
      <c r="Y726" s="174"/>
    </row>
    <row r="727" spans="7:25" ht="12.75">
      <c r="G727" s="174"/>
      <c r="U727" s="174"/>
      <c r="V727" s="174"/>
      <c r="Y727" s="174"/>
    </row>
    <row r="728" spans="7:25" ht="12.75">
      <c r="G728" s="174"/>
      <c r="U728" s="174"/>
      <c r="V728" s="174"/>
      <c r="Y728" s="174"/>
    </row>
    <row r="729" spans="7:25" ht="12.75">
      <c r="G729" s="174"/>
      <c r="U729" s="174"/>
      <c r="V729" s="174"/>
      <c r="Y729" s="174"/>
    </row>
    <row r="730" spans="7:25" ht="12.75">
      <c r="G730" s="174"/>
      <c r="U730" s="174"/>
      <c r="V730" s="174"/>
      <c r="Y730" s="174"/>
    </row>
    <row r="731" spans="7:25" ht="12.75">
      <c r="G731" s="174"/>
      <c r="U731" s="174"/>
      <c r="V731" s="174"/>
      <c r="Y731" s="174"/>
    </row>
    <row r="732" spans="7:25" ht="12.75">
      <c r="G732" s="174"/>
      <c r="U732" s="174"/>
      <c r="V732" s="174"/>
      <c r="Y732" s="174"/>
    </row>
    <row r="733" spans="7:25" ht="12.75">
      <c r="G733" s="174"/>
      <c r="U733" s="174"/>
      <c r="V733" s="174"/>
      <c r="Y733" s="174"/>
    </row>
    <row r="734" spans="7:25" ht="12.75">
      <c r="G734" s="174"/>
      <c r="U734" s="174"/>
      <c r="V734" s="174"/>
      <c r="Y734" s="174"/>
    </row>
    <row r="735" spans="7:25" ht="12.75">
      <c r="G735" s="174"/>
      <c r="U735" s="174"/>
      <c r="V735" s="174"/>
      <c r="Y735" s="174"/>
    </row>
    <row r="736" spans="7:25" ht="12.75">
      <c r="G736" s="174"/>
      <c r="U736" s="174"/>
      <c r="V736" s="174"/>
      <c r="Y736" s="174"/>
    </row>
    <row r="737" spans="7:25" ht="12.75">
      <c r="G737" s="174"/>
      <c r="U737" s="174"/>
      <c r="V737" s="174"/>
      <c r="Y737" s="174"/>
    </row>
    <row r="738" spans="7:25" ht="12.75">
      <c r="G738" s="174"/>
      <c r="U738" s="174"/>
      <c r="V738" s="174"/>
      <c r="Y738" s="174"/>
    </row>
    <row r="739" spans="7:25" ht="12.75">
      <c r="G739" s="174"/>
      <c r="U739" s="174"/>
      <c r="V739" s="174"/>
      <c r="Y739" s="174"/>
    </row>
    <row r="740" spans="7:25" ht="12.75">
      <c r="G740" s="174"/>
      <c r="U740" s="174"/>
      <c r="V740" s="174"/>
      <c r="Y740" s="174"/>
    </row>
    <row r="741" spans="7:25" ht="12.75">
      <c r="G741" s="174"/>
      <c r="U741" s="174"/>
      <c r="V741" s="174"/>
      <c r="Y741" s="174"/>
    </row>
    <row r="742" spans="7:25" ht="12.75">
      <c r="G742" s="174"/>
      <c r="U742" s="174"/>
      <c r="V742" s="174"/>
      <c r="Y742" s="174"/>
    </row>
    <row r="743" spans="7:25" ht="12.75">
      <c r="G743" s="174"/>
      <c r="U743" s="174"/>
      <c r="V743" s="174"/>
      <c r="Y743" s="174"/>
    </row>
    <row r="744" spans="7:25" ht="12.75">
      <c r="G744" s="174"/>
      <c r="U744" s="174"/>
      <c r="V744" s="174"/>
      <c r="Y744" s="174"/>
    </row>
    <row r="745" spans="7:25" ht="12.75">
      <c r="G745" s="174"/>
      <c r="U745" s="174"/>
      <c r="V745" s="174"/>
      <c r="Y745" s="174"/>
    </row>
    <row r="746" spans="7:25" ht="12.75">
      <c r="G746" s="174"/>
      <c r="U746" s="174"/>
      <c r="V746" s="174"/>
      <c r="Y746" s="174"/>
    </row>
    <row r="747" spans="7:25" ht="12.75">
      <c r="G747" s="174"/>
      <c r="U747" s="174"/>
      <c r="V747" s="174"/>
      <c r="Y747" s="174"/>
    </row>
    <row r="748" spans="7:25" ht="12.75">
      <c r="G748" s="174"/>
      <c r="U748" s="174"/>
      <c r="V748" s="174"/>
      <c r="Y748" s="174"/>
    </row>
    <row r="749" spans="7:25" ht="12.75">
      <c r="G749" s="174"/>
      <c r="U749" s="174"/>
      <c r="V749" s="174"/>
      <c r="Y749" s="174"/>
    </row>
  </sheetData>
  <printOptions horizontalCentered="1"/>
  <pageMargins left="0.25" right="0.25" top="0.75" bottom="0.25" header="0.25" footer="0"/>
  <pageSetup horizontalDpi="600" verticalDpi="600" orientation="landscape" scale="70" r:id="rId1"/>
  <rowBreaks count="1" manualBreakCount="1">
    <brk id="3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714"/>
  <sheetViews>
    <sheetView zoomScale="75" zoomScaleNormal="75" workbookViewId="0" topLeftCell="B2">
      <selection activeCell="C342" sqref="C342"/>
    </sheetView>
  </sheetViews>
  <sheetFormatPr defaultColWidth="9.140625" defaultRowHeight="12.75" outlineLevelRow="1" outlineLevelCol="1"/>
  <cols>
    <col min="1" max="1" width="0" style="174" hidden="1" customWidth="1"/>
    <col min="2" max="2" width="3.8515625" style="175" customWidth="1"/>
    <col min="3" max="3" width="68.7109375" style="175" customWidth="1"/>
    <col min="4" max="4" width="1.1484375" style="175" customWidth="1"/>
    <col min="5" max="5" width="19.57421875" style="175" customWidth="1"/>
    <col min="6" max="6" width="17.8515625" style="175" customWidth="1"/>
    <col min="7" max="7" width="19.57421875" style="175" customWidth="1"/>
    <col min="8" max="15" width="19.57421875" style="174" hidden="1" customWidth="1" outlineLevel="1"/>
    <col min="16" max="16" width="19.57421875" style="175" customWidth="1" collapsed="1"/>
    <col min="17" max="17" width="19.57421875" style="175" customWidth="1"/>
    <col min="18" max="18" width="20.57421875" style="175" bestFit="1" customWidth="1"/>
    <col min="19" max="19" width="11.140625" style="174" hidden="1" customWidth="1"/>
    <col min="20" max="16384" width="8.00390625" style="245" customWidth="1"/>
  </cols>
  <sheetData>
    <row r="1" spans="1:19" s="231" customFormat="1" ht="12.75" hidden="1">
      <c r="A1" s="229" t="s">
        <v>2204</v>
      </c>
      <c r="B1" s="230" t="s">
        <v>2792</v>
      </c>
      <c r="C1" s="230" t="s">
        <v>2205</v>
      </c>
      <c r="D1" s="230" t="s">
        <v>2206</v>
      </c>
      <c r="E1" s="230" t="s">
        <v>2207</v>
      </c>
      <c r="F1" s="230" t="s">
        <v>2208</v>
      </c>
      <c r="G1" s="230" t="s">
        <v>2792</v>
      </c>
      <c r="H1" s="229" t="s">
        <v>2209</v>
      </c>
      <c r="I1" s="229" t="s">
        <v>2210</v>
      </c>
      <c r="J1" s="229" t="s">
        <v>2211</v>
      </c>
      <c r="K1" s="229" t="s">
        <v>2212</v>
      </c>
      <c r="L1" s="229" t="s">
        <v>2213</v>
      </c>
      <c r="M1" s="229" t="s">
        <v>2214</v>
      </c>
      <c r="N1" s="229" t="s">
        <v>2215</v>
      </c>
      <c r="O1" s="229" t="s">
        <v>2216</v>
      </c>
      <c r="P1" s="230" t="s">
        <v>2217</v>
      </c>
      <c r="Q1" s="230" t="s">
        <v>1365</v>
      </c>
      <c r="R1" s="230" t="s">
        <v>2794</v>
      </c>
      <c r="S1" s="229"/>
    </row>
    <row r="2" spans="1:19" s="234" customFormat="1" ht="15.75" customHeight="1">
      <c r="A2" s="232"/>
      <c r="B2" s="5" t="str">
        <f>"University of Missouri - "&amp;TEXT(S3,)</f>
        <v>University of Missouri - Rolla</v>
      </c>
      <c r="C2" s="50"/>
      <c r="D2" s="50"/>
      <c r="E2" s="50"/>
      <c r="F2" s="50"/>
      <c r="G2" s="50"/>
      <c r="H2" s="232"/>
      <c r="I2" s="232"/>
      <c r="J2" s="232"/>
      <c r="K2" s="232"/>
      <c r="L2" s="232"/>
      <c r="M2" s="232"/>
      <c r="N2" s="232"/>
      <c r="O2" s="232"/>
      <c r="P2" s="50"/>
      <c r="Q2" s="50"/>
      <c r="R2" s="233"/>
      <c r="S2" s="232"/>
    </row>
    <row r="3" spans="1:19" s="234" customFormat="1" ht="15.75" customHeight="1">
      <c r="A3" s="232"/>
      <c r="B3" s="11" t="s">
        <v>1366</v>
      </c>
      <c r="C3" s="51"/>
      <c r="D3" s="51"/>
      <c r="E3" s="51"/>
      <c r="F3" s="51"/>
      <c r="G3" s="51"/>
      <c r="H3" s="232"/>
      <c r="I3" s="232"/>
      <c r="J3" s="232"/>
      <c r="K3" s="232"/>
      <c r="L3" s="232"/>
      <c r="M3" s="232"/>
      <c r="N3" s="232"/>
      <c r="O3" s="232"/>
      <c r="P3" s="51"/>
      <c r="Q3" s="51"/>
      <c r="R3" s="186"/>
      <c r="S3" s="235" t="s">
        <v>118</v>
      </c>
    </row>
    <row r="4" spans="1:19" s="234" customFormat="1" ht="15.75" customHeight="1">
      <c r="A4" s="232"/>
      <c r="B4" s="86" t="str">
        <f>"For the Year Ending "&amp;TEXT(S4,"MMMM DD, YYY")</f>
        <v>For the Year Ending June 30, 2006</v>
      </c>
      <c r="C4" s="51"/>
      <c r="D4" s="51"/>
      <c r="E4" s="51"/>
      <c r="F4" s="51"/>
      <c r="G4" s="51"/>
      <c r="H4" s="232"/>
      <c r="I4" s="232"/>
      <c r="J4" s="232"/>
      <c r="K4" s="232"/>
      <c r="L4" s="232"/>
      <c r="M4" s="232"/>
      <c r="N4" s="232"/>
      <c r="O4" s="232"/>
      <c r="P4" s="51"/>
      <c r="Q4" s="51"/>
      <c r="R4" s="186"/>
      <c r="S4" s="235" t="s">
        <v>117</v>
      </c>
    </row>
    <row r="5" spans="1:19" s="234" customFormat="1" ht="12.75" customHeight="1">
      <c r="A5" s="232"/>
      <c r="B5" s="236"/>
      <c r="C5" s="237"/>
      <c r="D5" s="185"/>
      <c r="E5" s="237"/>
      <c r="F5" s="237"/>
      <c r="G5" s="237"/>
      <c r="H5" s="232"/>
      <c r="I5" s="232"/>
      <c r="J5" s="232"/>
      <c r="K5" s="232"/>
      <c r="L5" s="232"/>
      <c r="M5" s="232"/>
      <c r="N5" s="232"/>
      <c r="O5" s="232"/>
      <c r="P5" s="237"/>
      <c r="Q5" s="237"/>
      <c r="R5" s="238"/>
      <c r="S5" s="232"/>
    </row>
    <row r="6" spans="2:18" ht="12.75">
      <c r="B6" s="239"/>
      <c r="C6" s="240"/>
      <c r="D6" s="241"/>
      <c r="E6" s="242" t="s">
        <v>1367</v>
      </c>
      <c r="F6" s="243"/>
      <c r="G6" s="243"/>
      <c r="P6" s="243"/>
      <c r="Q6" s="244"/>
      <c r="R6" s="147"/>
    </row>
    <row r="7" spans="1:19" s="252" customFormat="1" ht="45" customHeight="1">
      <c r="A7" s="246" t="s">
        <v>2793</v>
      </c>
      <c r="B7" s="247"/>
      <c r="C7" s="248"/>
      <c r="D7" s="249"/>
      <c r="E7" s="250" t="s">
        <v>1368</v>
      </c>
      <c r="F7" s="250" t="s">
        <v>1369</v>
      </c>
      <c r="G7" s="250" t="s">
        <v>1370</v>
      </c>
      <c r="H7" s="246" t="s">
        <v>1371</v>
      </c>
      <c r="I7" s="246" t="s">
        <v>1372</v>
      </c>
      <c r="J7" s="246" t="s">
        <v>1373</v>
      </c>
      <c r="K7" s="246" t="s">
        <v>1374</v>
      </c>
      <c r="L7" s="246" t="s">
        <v>1375</v>
      </c>
      <c r="M7" s="246" t="s">
        <v>1376</v>
      </c>
      <c r="N7" s="246" t="s">
        <v>1377</v>
      </c>
      <c r="O7" s="246" t="s">
        <v>1378</v>
      </c>
      <c r="P7" s="250" t="s">
        <v>1379</v>
      </c>
      <c r="Q7" s="250" t="s">
        <v>1380</v>
      </c>
      <c r="R7" s="251" t="s">
        <v>1381</v>
      </c>
      <c r="S7" s="246"/>
    </row>
    <row r="8" spans="1:44" s="254" customFormat="1" ht="12.75" customHeight="1">
      <c r="A8" s="213"/>
      <c r="B8" s="242"/>
      <c r="C8" s="243"/>
      <c r="D8" s="244"/>
      <c r="E8" s="196"/>
      <c r="F8" s="196"/>
      <c r="G8" s="196"/>
      <c r="H8" s="213"/>
      <c r="I8" s="213"/>
      <c r="J8" s="213"/>
      <c r="K8" s="213"/>
      <c r="L8" s="213"/>
      <c r="M8" s="213"/>
      <c r="N8" s="213"/>
      <c r="O8" s="213"/>
      <c r="P8" s="196"/>
      <c r="Q8" s="196"/>
      <c r="R8" s="196"/>
      <c r="S8" s="212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</row>
    <row r="9" spans="1:44" s="254" customFormat="1" ht="12.75" customHeight="1">
      <c r="A9" s="255"/>
      <c r="B9" s="64" t="s">
        <v>2828</v>
      </c>
      <c r="C9" s="211"/>
      <c r="D9" s="65"/>
      <c r="E9" s="193"/>
      <c r="F9" s="193"/>
      <c r="G9" s="193"/>
      <c r="H9" s="255"/>
      <c r="I9" s="255"/>
      <c r="J9" s="255"/>
      <c r="K9" s="255"/>
      <c r="L9" s="255"/>
      <c r="M9" s="255"/>
      <c r="N9" s="255"/>
      <c r="O9" s="255"/>
      <c r="P9" s="193"/>
      <c r="Q9" s="193"/>
      <c r="R9" s="193"/>
      <c r="S9" s="256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</row>
    <row r="10" spans="1:19" s="231" customFormat="1" ht="12.75" hidden="1" outlineLevel="1">
      <c r="A10" s="229" t="s">
        <v>1382</v>
      </c>
      <c r="B10" s="230"/>
      <c r="C10" s="230" t="s">
        <v>1383</v>
      </c>
      <c r="D10" s="230" t="s">
        <v>1384</v>
      </c>
      <c r="E10" s="230">
        <v>618007.64</v>
      </c>
      <c r="F10" s="230">
        <v>46650</v>
      </c>
      <c r="G10" s="230"/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30">
        <v>0</v>
      </c>
      <c r="Q10" s="230">
        <v>0</v>
      </c>
      <c r="R10" s="230">
        <f aca="true" t="shared" si="0" ref="R10:R55">E10+F10+G10+P10+Q10</f>
        <v>664657.64</v>
      </c>
      <c r="S10" s="229"/>
    </row>
    <row r="11" spans="1:19" s="231" customFormat="1" ht="12.75" hidden="1" outlineLevel="1">
      <c r="A11" s="229" t="s">
        <v>1385</v>
      </c>
      <c r="B11" s="230"/>
      <c r="C11" s="230" t="s">
        <v>1386</v>
      </c>
      <c r="D11" s="230" t="s">
        <v>1387</v>
      </c>
      <c r="E11" s="230">
        <v>129318.83</v>
      </c>
      <c r="F11" s="230">
        <v>0</v>
      </c>
      <c r="G11" s="230"/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30">
        <v>0</v>
      </c>
      <c r="Q11" s="230">
        <v>0</v>
      </c>
      <c r="R11" s="230">
        <f t="shared" si="0"/>
        <v>129318.83</v>
      </c>
      <c r="S11" s="229"/>
    </row>
    <row r="12" spans="1:19" s="231" customFormat="1" ht="12.75" hidden="1" outlineLevel="1">
      <c r="A12" s="229" t="s">
        <v>1388</v>
      </c>
      <c r="B12" s="230"/>
      <c r="C12" s="230" t="s">
        <v>1389</v>
      </c>
      <c r="D12" s="230" t="s">
        <v>1390</v>
      </c>
      <c r="E12" s="230">
        <v>10982514.61</v>
      </c>
      <c r="F12" s="230">
        <v>0</v>
      </c>
      <c r="G12" s="230"/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30">
        <v>0</v>
      </c>
      <c r="Q12" s="230">
        <v>0</v>
      </c>
      <c r="R12" s="230">
        <f t="shared" si="0"/>
        <v>10982514.61</v>
      </c>
      <c r="S12" s="229"/>
    </row>
    <row r="13" spans="1:19" s="231" customFormat="1" ht="12.75" hidden="1" outlineLevel="1">
      <c r="A13" s="229" t="s">
        <v>1391</v>
      </c>
      <c r="B13" s="230"/>
      <c r="C13" s="230" t="s">
        <v>1392</v>
      </c>
      <c r="D13" s="230" t="s">
        <v>1393</v>
      </c>
      <c r="E13" s="230">
        <v>5101251.59</v>
      </c>
      <c r="F13" s="230">
        <v>0</v>
      </c>
      <c r="G13" s="230"/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30">
        <v>0</v>
      </c>
      <c r="Q13" s="230">
        <v>0</v>
      </c>
      <c r="R13" s="230">
        <f t="shared" si="0"/>
        <v>5101251.59</v>
      </c>
      <c r="S13" s="229"/>
    </row>
    <row r="14" spans="1:19" s="231" customFormat="1" ht="12.75" hidden="1" outlineLevel="1">
      <c r="A14" s="229" t="s">
        <v>1394</v>
      </c>
      <c r="B14" s="230"/>
      <c r="C14" s="230" t="s">
        <v>1395</v>
      </c>
      <c r="D14" s="230" t="s">
        <v>1396</v>
      </c>
      <c r="E14" s="230">
        <v>10133357.68</v>
      </c>
      <c r="F14" s="230">
        <v>0</v>
      </c>
      <c r="G14" s="230"/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30">
        <v>0</v>
      </c>
      <c r="Q14" s="230">
        <v>0</v>
      </c>
      <c r="R14" s="230">
        <f t="shared" si="0"/>
        <v>10133357.68</v>
      </c>
      <c r="S14" s="229"/>
    </row>
    <row r="15" spans="1:19" s="231" customFormat="1" ht="12.75" hidden="1" outlineLevel="1">
      <c r="A15" s="229" t="s">
        <v>1397</v>
      </c>
      <c r="B15" s="230"/>
      <c r="C15" s="230" t="s">
        <v>1398</v>
      </c>
      <c r="D15" s="230" t="s">
        <v>1399</v>
      </c>
      <c r="E15" s="230">
        <v>4601178.15</v>
      </c>
      <c r="F15" s="230">
        <v>0</v>
      </c>
      <c r="G15" s="230"/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30">
        <v>0</v>
      </c>
      <c r="Q15" s="230">
        <v>0</v>
      </c>
      <c r="R15" s="230">
        <f t="shared" si="0"/>
        <v>4601178.15</v>
      </c>
      <c r="S15" s="229"/>
    </row>
    <row r="16" spans="1:19" s="231" customFormat="1" ht="12.75" hidden="1" outlineLevel="1">
      <c r="A16" s="229" t="s">
        <v>1400</v>
      </c>
      <c r="B16" s="230"/>
      <c r="C16" s="230" t="s">
        <v>1401</v>
      </c>
      <c r="D16" s="230" t="s">
        <v>1402</v>
      </c>
      <c r="E16" s="230">
        <v>296254.1</v>
      </c>
      <c r="F16" s="230">
        <v>0</v>
      </c>
      <c r="G16" s="230"/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30">
        <v>0</v>
      </c>
      <c r="Q16" s="230">
        <v>0</v>
      </c>
      <c r="R16" s="230">
        <f t="shared" si="0"/>
        <v>296254.1</v>
      </c>
      <c r="S16" s="229"/>
    </row>
    <row r="17" spans="1:19" s="231" customFormat="1" ht="12.75" hidden="1" outlineLevel="1">
      <c r="A17" s="229" t="s">
        <v>1403</v>
      </c>
      <c r="B17" s="230"/>
      <c r="C17" s="230" t="s">
        <v>1404</v>
      </c>
      <c r="D17" s="230" t="s">
        <v>1405</v>
      </c>
      <c r="E17" s="230">
        <v>883629.44</v>
      </c>
      <c r="F17" s="230">
        <v>0</v>
      </c>
      <c r="G17" s="230"/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30">
        <v>0</v>
      </c>
      <c r="Q17" s="230">
        <v>0</v>
      </c>
      <c r="R17" s="230">
        <f t="shared" si="0"/>
        <v>883629.44</v>
      </c>
      <c r="S17" s="229"/>
    </row>
    <row r="18" spans="1:19" s="231" customFormat="1" ht="12.75" hidden="1" outlineLevel="1">
      <c r="A18" s="229" t="s">
        <v>1406</v>
      </c>
      <c r="B18" s="230"/>
      <c r="C18" s="230" t="s">
        <v>1407</v>
      </c>
      <c r="D18" s="230" t="s">
        <v>1408</v>
      </c>
      <c r="E18" s="230">
        <v>629258.56</v>
      </c>
      <c r="F18" s="230">
        <v>0</v>
      </c>
      <c r="G18" s="230"/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30">
        <v>0</v>
      </c>
      <c r="Q18" s="230">
        <v>0</v>
      </c>
      <c r="R18" s="230">
        <f t="shared" si="0"/>
        <v>629258.56</v>
      </c>
      <c r="S18" s="229"/>
    </row>
    <row r="19" spans="1:19" s="231" customFormat="1" ht="12.75" hidden="1" outlineLevel="1">
      <c r="A19" s="229" t="s">
        <v>1409</v>
      </c>
      <c r="B19" s="230"/>
      <c r="C19" s="230" t="s">
        <v>1410</v>
      </c>
      <c r="D19" s="230" t="s">
        <v>1411</v>
      </c>
      <c r="E19" s="230">
        <v>3209511.3</v>
      </c>
      <c r="F19" s="230">
        <v>0</v>
      </c>
      <c r="G19" s="230"/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30">
        <v>0</v>
      </c>
      <c r="Q19" s="230">
        <v>0</v>
      </c>
      <c r="R19" s="230">
        <f t="shared" si="0"/>
        <v>3209511.3</v>
      </c>
      <c r="S19" s="229"/>
    </row>
    <row r="20" spans="1:19" s="231" customFormat="1" ht="12.75" hidden="1" outlineLevel="1">
      <c r="A20" s="229" t="s">
        <v>1412</v>
      </c>
      <c r="B20" s="230"/>
      <c r="C20" s="230" t="s">
        <v>1413</v>
      </c>
      <c r="D20" s="230" t="s">
        <v>1414</v>
      </c>
      <c r="E20" s="230">
        <v>648598.54</v>
      </c>
      <c r="F20" s="230">
        <v>0</v>
      </c>
      <c r="G20" s="230"/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30">
        <v>0</v>
      </c>
      <c r="Q20" s="230">
        <v>0</v>
      </c>
      <c r="R20" s="230">
        <f t="shared" si="0"/>
        <v>648598.54</v>
      </c>
      <c r="S20" s="229"/>
    </row>
    <row r="21" spans="1:19" s="231" customFormat="1" ht="12.75" hidden="1" outlineLevel="1">
      <c r="A21" s="229" t="s">
        <v>1415</v>
      </c>
      <c r="B21" s="230"/>
      <c r="C21" s="230" t="s">
        <v>1416</v>
      </c>
      <c r="D21" s="230" t="s">
        <v>1417</v>
      </c>
      <c r="E21" s="230">
        <v>3345029.42</v>
      </c>
      <c r="F21" s="230">
        <v>0</v>
      </c>
      <c r="G21" s="230"/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30">
        <v>0</v>
      </c>
      <c r="Q21" s="230">
        <v>0</v>
      </c>
      <c r="R21" s="230">
        <f t="shared" si="0"/>
        <v>3345029.42</v>
      </c>
      <c r="S21" s="229"/>
    </row>
    <row r="22" spans="1:19" s="231" customFormat="1" ht="12.75" hidden="1" outlineLevel="1">
      <c r="A22" s="229" t="s">
        <v>1418</v>
      </c>
      <c r="B22" s="230"/>
      <c r="C22" s="230" t="s">
        <v>1419</v>
      </c>
      <c r="D22" s="230" t="s">
        <v>1420</v>
      </c>
      <c r="E22" s="230">
        <v>0</v>
      </c>
      <c r="F22" s="230">
        <v>822493.25</v>
      </c>
      <c r="G22" s="230"/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30">
        <v>0</v>
      </c>
      <c r="Q22" s="230">
        <v>0</v>
      </c>
      <c r="R22" s="230">
        <f t="shared" si="0"/>
        <v>822493.25</v>
      </c>
      <c r="S22" s="229"/>
    </row>
    <row r="23" spans="1:19" s="231" customFormat="1" ht="12.75" hidden="1" outlineLevel="1">
      <c r="A23" s="229" t="s">
        <v>1421</v>
      </c>
      <c r="B23" s="230"/>
      <c r="C23" s="230" t="s">
        <v>1422</v>
      </c>
      <c r="D23" s="230" t="s">
        <v>1423</v>
      </c>
      <c r="E23" s="230">
        <v>0</v>
      </c>
      <c r="F23" s="230">
        <v>-1922.95</v>
      </c>
      <c r="G23" s="230"/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30">
        <v>0</v>
      </c>
      <c r="Q23" s="230">
        <v>0</v>
      </c>
      <c r="R23" s="230">
        <f t="shared" si="0"/>
        <v>-1922.95</v>
      </c>
      <c r="S23" s="229"/>
    </row>
    <row r="24" spans="1:19" s="231" customFormat="1" ht="12.75" hidden="1" outlineLevel="1">
      <c r="A24" s="229" t="s">
        <v>1424</v>
      </c>
      <c r="B24" s="230"/>
      <c r="C24" s="230" t="s">
        <v>1425</v>
      </c>
      <c r="D24" s="230" t="s">
        <v>1426</v>
      </c>
      <c r="E24" s="230">
        <v>-1500</v>
      </c>
      <c r="F24" s="230">
        <v>335381.64</v>
      </c>
      <c r="G24" s="230"/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30">
        <v>0</v>
      </c>
      <c r="Q24" s="230">
        <v>0</v>
      </c>
      <c r="R24" s="230">
        <f t="shared" si="0"/>
        <v>333881.64</v>
      </c>
      <c r="S24" s="229"/>
    </row>
    <row r="25" spans="1:19" s="231" customFormat="1" ht="12.75" hidden="1" outlineLevel="1">
      <c r="A25" s="229" t="s">
        <v>1427</v>
      </c>
      <c r="B25" s="230"/>
      <c r="C25" s="230" t="s">
        <v>1428</v>
      </c>
      <c r="D25" s="230" t="s">
        <v>1429</v>
      </c>
      <c r="E25" s="230">
        <v>0</v>
      </c>
      <c r="F25" s="230">
        <v>12912.5</v>
      </c>
      <c r="G25" s="230"/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30">
        <v>0</v>
      </c>
      <c r="Q25" s="230">
        <v>0</v>
      </c>
      <c r="R25" s="230">
        <f t="shared" si="0"/>
        <v>12912.5</v>
      </c>
      <c r="S25" s="229"/>
    </row>
    <row r="26" spans="1:19" s="231" customFormat="1" ht="12.75" hidden="1" outlineLevel="1">
      <c r="A26" s="229" t="s">
        <v>1430</v>
      </c>
      <c r="B26" s="230"/>
      <c r="C26" s="230" t="s">
        <v>1431</v>
      </c>
      <c r="D26" s="230" t="s">
        <v>1432</v>
      </c>
      <c r="E26" s="230">
        <v>0</v>
      </c>
      <c r="F26" s="230">
        <v>3391683.8</v>
      </c>
      <c r="G26" s="230"/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30">
        <v>0</v>
      </c>
      <c r="Q26" s="230">
        <v>0</v>
      </c>
      <c r="R26" s="230">
        <f t="shared" si="0"/>
        <v>3391683.8</v>
      </c>
      <c r="S26" s="229"/>
    </row>
    <row r="27" spans="1:19" s="231" customFormat="1" ht="12.75" hidden="1" outlineLevel="1">
      <c r="A27" s="229" t="s">
        <v>1433</v>
      </c>
      <c r="B27" s="230"/>
      <c r="C27" s="230" t="s">
        <v>1434</v>
      </c>
      <c r="D27" s="230" t="s">
        <v>1435</v>
      </c>
      <c r="E27" s="230">
        <v>55651.32</v>
      </c>
      <c r="F27" s="230">
        <v>0</v>
      </c>
      <c r="G27" s="230"/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30">
        <v>0</v>
      </c>
      <c r="Q27" s="230">
        <v>0</v>
      </c>
      <c r="R27" s="230">
        <f t="shared" si="0"/>
        <v>55651.32</v>
      </c>
      <c r="S27" s="229"/>
    </row>
    <row r="28" spans="1:19" s="231" customFormat="1" ht="12.75" hidden="1" outlineLevel="1">
      <c r="A28" s="229" t="s">
        <v>1436</v>
      </c>
      <c r="B28" s="230"/>
      <c r="C28" s="230" t="s">
        <v>1437</v>
      </c>
      <c r="D28" s="230" t="s">
        <v>1438</v>
      </c>
      <c r="E28" s="230">
        <v>70872.58</v>
      </c>
      <c r="F28" s="230">
        <v>0</v>
      </c>
      <c r="G28" s="230"/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30">
        <v>0</v>
      </c>
      <c r="Q28" s="230">
        <v>0</v>
      </c>
      <c r="R28" s="230">
        <f t="shared" si="0"/>
        <v>70872.58</v>
      </c>
      <c r="S28" s="229"/>
    </row>
    <row r="29" spans="1:19" s="231" customFormat="1" ht="12.75" hidden="1" outlineLevel="1">
      <c r="A29" s="229" t="s">
        <v>1439</v>
      </c>
      <c r="B29" s="230"/>
      <c r="C29" s="230" t="s">
        <v>1440</v>
      </c>
      <c r="D29" s="230" t="s">
        <v>1441</v>
      </c>
      <c r="E29" s="230">
        <v>1077176.8</v>
      </c>
      <c r="F29" s="230">
        <v>0</v>
      </c>
      <c r="G29" s="230"/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30">
        <v>0</v>
      </c>
      <c r="Q29" s="230">
        <v>0</v>
      </c>
      <c r="R29" s="230">
        <f t="shared" si="0"/>
        <v>1077176.8</v>
      </c>
      <c r="S29" s="229"/>
    </row>
    <row r="30" spans="1:19" s="231" customFormat="1" ht="12.75" hidden="1" outlineLevel="1">
      <c r="A30" s="229" t="s">
        <v>1442</v>
      </c>
      <c r="B30" s="230"/>
      <c r="C30" s="230" t="s">
        <v>1443</v>
      </c>
      <c r="D30" s="230" t="s">
        <v>1444</v>
      </c>
      <c r="E30" s="230">
        <v>232098.3</v>
      </c>
      <c r="F30" s="230">
        <v>0</v>
      </c>
      <c r="G30" s="230"/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30">
        <v>0</v>
      </c>
      <c r="Q30" s="230">
        <v>0</v>
      </c>
      <c r="R30" s="230">
        <f t="shared" si="0"/>
        <v>232098.3</v>
      </c>
      <c r="S30" s="229"/>
    </row>
    <row r="31" spans="1:19" s="231" customFormat="1" ht="12.75" hidden="1" outlineLevel="1">
      <c r="A31" s="229" t="s">
        <v>1445</v>
      </c>
      <c r="B31" s="230"/>
      <c r="C31" s="230" t="s">
        <v>1446</v>
      </c>
      <c r="D31" s="230" t="s">
        <v>1447</v>
      </c>
      <c r="E31" s="230">
        <v>1067576.1</v>
      </c>
      <c r="F31" s="230">
        <v>0</v>
      </c>
      <c r="G31" s="230"/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30">
        <v>0</v>
      </c>
      <c r="Q31" s="230">
        <v>0</v>
      </c>
      <c r="R31" s="230">
        <f t="shared" si="0"/>
        <v>1067576.1</v>
      </c>
      <c r="S31" s="229"/>
    </row>
    <row r="32" spans="1:19" s="231" customFormat="1" ht="12.75" hidden="1" outlineLevel="1">
      <c r="A32" s="229" t="s">
        <v>1448</v>
      </c>
      <c r="B32" s="230"/>
      <c r="C32" s="230" t="s">
        <v>1449</v>
      </c>
      <c r="D32" s="230" t="s">
        <v>1450</v>
      </c>
      <c r="E32" s="230">
        <v>251247.9</v>
      </c>
      <c r="F32" s="230">
        <v>0</v>
      </c>
      <c r="G32" s="230"/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30">
        <v>0</v>
      </c>
      <c r="Q32" s="230">
        <v>0</v>
      </c>
      <c r="R32" s="230">
        <f t="shared" si="0"/>
        <v>251247.9</v>
      </c>
      <c r="S32" s="229"/>
    </row>
    <row r="33" spans="1:19" s="231" customFormat="1" ht="12.75" hidden="1" outlineLevel="1">
      <c r="A33" s="229" t="s">
        <v>1451</v>
      </c>
      <c r="B33" s="230"/>
      <c r="C33" s="230" t="s">
        <v>1452</v>
      </c>
      <c r="D33" s="230" t="s">
        <v>1453</v>
      </c>
      <c r="E33" s="230">
        <v>57835.61</v>
      </c>
      <c r="F33" s="230">
        <v>0</v>
      </c>
      <c r="G33" s="230"/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30">
        <v>0</v>
      </c>
      <c r="Q33" s="230">
        <v>0</v>
      </c>
      <c r="R33" s="230">
        <f t="shared" si="0"/>
        <v>57835.61</v>
      </c>
      <c r="S33" s="229"/>
    </row>
    <row r="34" spans="1:19" s="231" customFormat="1" ht="12.75" hidden="1" outlineLevel="1">
      <c r="A34" s="229" t="s">
        <v>1454</v>
      </c>
      <c r="B34" s="230"/>
      <c r="C34" s="230" t="s">
        <v>1455</v>
      </c>
      <c r="D34" s="230" t="s">
        <v>1456</v>
      </c>
      <c r="E34" s="230">
        <v>737143.55</v>
      </c>
      <c r="F34" s="230">
        <v>0</v>
      </c>
      <c r="G34" s="230"/>
      <c r="H34" s="229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230">
        <v>0</v>
      </c>
      <c r="Q34" s="230">
        <v>0</v>
      </c>
      <c r="R34" s="230">
        <f t="shared" si="0"/>
        <v>737143.55</v>
      </c>
      <c r="S34" s="229"/>
    </row>
    <row r="35" spans="1:19" s="231" customFormat="1" ht="12.75" hidden="1" outlineLevel="1">
      <c r="A35" s="229" t="s">
        <v>1457</v>
      </c>
      <c r="B35" s="230"/>
      <c r="C35" s="230" t="s">
        <v>1458</v>
      </c>
      <c r="D35" s="230" t="s">
        <v>1459</v>
      </c>
      <c r="E35" s="230">
        <v>684925.18</v>
      </c>
      <c r="F35" s="230">
        <v>0</v>
      </c>
      <c r="G35" s="230"/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30">
        <v>0</v>
      </c>
      <c r="Q35" s="230">
        <v>0</v>
      </c>
      <c r="R35" s="230">
        <f t="shared" si="0"/>
        <v>684925.18</v>
      </c>
      <c r="S35" s="229"/>
    </row>
    <row r="36" spans="1:19" s="231" customFormat="1" ht="12.75" hidden="1" outlineLevel="1">
      <c r="A36" s="229" t="s">
        <v>1460</v>
      </c>
      <c r="B36" s="230"/>
      <c r="C36" s="230" t="s">
        <v>1461</v>
      </c>
      <c r="D36" s="230" t="s">
        <v>1462</v>
      </c>
      <c r="E36" s="230">
        <v>1560796.3</v>
      </c>
      <c r="F36" s="230">
        <v>0</v>
      </c>
      <c r="G36" s="230"/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30">
        <v>0</v>
      </c>
      <c r="Q36" s="230">
        <v>0</v>
      </c>
      <c r="R36" s="230">
        <f t="shared" si="0"/>
        <v>1560796.3</v>
      </c>
      <c r="S36" s="229"/>
    </row>
    <row r="37" spans="1:19" s="231" customFormat="1" ht="12.75" hidden="1" outlineLevel="1">
      <c r="A37" s="229" t="s">
        <v>1463</v>
      </c>
      <c r="B37" s="230"/>
      <c r="C37" s="230" t="s">
        <v>1464</v>
      </c>
      <c r="D37" s="230" t="s">
        <v>1465</v>
      </c>
      <c r="E37" s="230">
        <v>95169.86</v>
      </c>
      <c r="F37" s="230">
        <v>0</v>
      </c>
      <c r="G37" s="230"/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30">
        <v>0</v>
      </c>
      <c r="Q37" s="230">
        <v>0</v>
      </c>
      <c r="R37" s="230">
        <f t="shared" si="0"/>
        <v>95169.86</v>
      </c>
      <c r="S37" s="229"/>
    </row>
    <row r="38" spans="1:19" s="231" customFormat="1" ht="12.75" hidden="1" outlineLevel="1">
      <c r="A38" s="229" t="s">
        <v>1466</v>
      </c>
      <c r="B38" s="230"/>
      <c r="C38" s="230" t="s">
        <v>1467</v>
      </c>
      <c r="D38" s="230" t="s">
        <v>1468</v>
      </c>
      <c r="E38" s="230">
        <v>31964.62</v>
      </c>
      <c r="F38" s="230">
        <v>0</v>
      </c>
      <c r="G38" s="230"/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30">
        <v>0</v>
      </c>
      <c r="Q38" s="230">
        <v>0</v>
      </c>
      <c r="R38" s="230">
        <f t="shared" si="0"/>
        <v>31964.62</v>
      </c>
      <c r="S38" s="229"/>
    </row>
    <row r="39" spans="1:19" s="231" customFormat="1" ht="12.75" hidden="1" outlineLevel="1">
      <c r="A39" s="229" t="s">
        <v>1469</v>
      </c>
      <c r="B39" s="230"/>
      <c r="C39" s="230" t="s">
        <v>1470</v>
      </c>
      <c r="D39" s="230" t="s">
        <v>1471</v>
      </c>
      <c r="E39" s="230">
        <v>46837</v>
      </c>
      <c r="F39" s="230">
        <v>0</v>
      </c>
      <c r="G39" s="230"/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0</v>
      </c>
      <c r="O39" s="229">
        <v>0</v>
      </c>
      <c r="P39" s="230">
        <v>0</v>
      </c>
      <c r="Q39" s="230">
        <v>0</v>
      </c>
      <c r="R39" s="230">
        <f t="shared" si="0"/>
        <v>46837</v>
      </c>
      <c r="S39" s="229"/>
    </row>
    <row r="40" spans="1:19" s="231" customFormat="1" ht="12.75" hidden="1" outlineLevel="1">
      <c r="A40" s="229" t="s">
        <v>1472</v>
      </c>
      <c r="B40" s="230"/>
      <c r="C40" s="230" t="s">
        <v>1473</v>
      </c>
      <c r="D40" s="230" t="s">
        <v>1474</v>
      </c>
      <c r="E40" s="230">
        <v>277065.09</v>
      </c>
      <c r="F40" s="230">
        <v>0</v>
      </c>
      <c r="G40" s="230"/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30">
        <v>0</v>
      </c>
      <c r="Q40" s="230">
        <v>0</v>
      </c>
      <c r="R40" s="230">
        <f t="shared" si="0"/>
        <v>277065.09</v>
      </c>
      <c r="S40" s="229"/>
    </row>
    <row r="41" spans="1:19" s="231" customFormat="1" ht="12.75" hidden="1" outlineLevel="1">
      <c r="A41" s="229" t="s">
        <v>1475</v>
      </c>
      <c r="B41" s="230"/>
      <c r="C41" s="230" t="s">
        <v>1476</v>
      </c>
      <c r="D41" s="230" t="s">
        <v>1477</v>
      </c>
      <c r="E41" s="230">
        <v>3750.3</v>
      </c>
      <c r="F41" s="230">
        <v>0</v>
      </c>
      <c r="G41" s="230"/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30">
        <v>0</v>
      </c>
      <c r="Q41" s="230">
        <v>0</v>
      </c>
      <c r="R41" s="230">
        <f t="shared" si="0"/>
        <v>3750.3</v>
      </c>
      <c r="S41" s="229"/>
    </row>
    <row r="42" spans="1:19" s="231" customFormat="1" ht="12.75" hidden="1" outlineLevel="1">
      <c r="A42" s="229" t="s">
        <v>1478</v>
      </c>
      <c r="B42" s="230"/>
      <c r="C42" s="230" t="s">
        <v>1479</v>
      </c>
      <c r="D42" s="230" t="s">
        <v>1480</v>
      </c>
      <c r="E42" s="230">
        <v>257946.57</v>
      </c>
      <c r="F42" s="230">
        <v>0</v>
      </c>
      <c r="G42" s="230"/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30">
        <v>0</v>
      </c>
      <c r="Q42" s="230">
        <v>0</v>
      </c>
      <c r="R42" s="230">
        <f t="shared" si="0"/>
        <v>257946.57</v>
      </c>
      <c r="S42" s="229"/>
    </row>
    <row r="43" spans="1:19" s="231" customFormat="1" ht="12.75" hidden="1" outlineLevel="1">
      <c r="A43" s="229" t="s">
        <v>1481</v>
      </c>
      <c r="B43" s="230"/>
      <c r="C43" s="230" t="s">
        <v>1482</v>
      </c>
      <c r="D43" s="230" t="s">
        <v>1483</v>
      </c>
      <c r="E43" s="230">
        <v>3861.15</v>
      </c>
      <c r="F43" s="230">
        <v>0</v>
      </c>
      <c r="G43" s="230"/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30">
        <v>0</v>
      </c>
      <c r="Q43" s="230">
        <v>0</v>
      </c>
      <c r="R43" s="230">
        <f t="shared" si="0"/>
        <v>3861.15</v>
      </c>
      <c r="S43" s="229"/>
    </row>
    <row r="44" spans="1:44" s="254" customFormat="1" ht="12.75" customHeight="1" collapsed="1">
      <c r="A44" s="213" t="s">
        <v>3248</v>
      </c>
      <c r="B44" s="213"/>
      <c r="C44" s="212" t="s">
        <v>3249</v>
      </c>
      <c r="D44" s="214"/>
      <c r="E44" s="215">
        <v>47088328.08999998</v>
      </c>
      <c r="F44" s="215">
        <v>4607198.24</v>
      </c>
      <c r="G44" s="215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5">
        <v>0</v>
      </c>
      <c r="Q44" s="215">
        <v>0</v>
      </c>
      <c r="R44" s="215">
        <f t="shared" si="0"/>
        <v>51695526.32999998</v>
      </c>
      <c r="S44" s="212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</row>
    <row r="45" spans="1:19" s="231" customFormat="1" ht="12.75" hidden="1" outlineLevel="1">
      <c r="A45" s="229" t="s">
        <v>1484</v>
      </c>
      <c r="B45" s="230"/>
      <c r="C45" s="230" t="s">
        <v>1485</v>
      </c>
      <c r="D45" s="230" t="s">
        <v>1486</v>
      </c>
      <c r="E45" s="230">
        <v>-500</v>
      </c>
      <c r="F45" s="230">
        <v>0</v>
      </c>
      <c r="G45" s="230"/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30">
        <v>0</v>
      </c>
      <c r="Q45" s="230">
        <v>0</v>
      </c>
      <c r="R45" s="230">
        <f t="shared" si="0"/>
        <v>-500</v>
      </c>
      <c r="S45" s="229"/>
    </row>
    <row r="46" spans="1:19" s="231" customFormat="1" ht="12.75" hidden="1" outlineLevel="1">
      <c r="A46" s="229" t="s">
        <v>3250</v>
      </c>
      <c r="B46" s="230"/>
      <c r="C46" s="230" t="s">
        <v>3251</v>
      </c>
      <c r="D46" s="230" t="s">
        <v>3252</v>
      </c>
      <c r="E46" s="230">
        <v>4915364.1</v>
      </c>
      <c r="F46" s="230">
        <v>0</v>
      </c>
      <c r="G46" s="230"/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30">
        <v>0</v>
      </c>
      <c r="Q46" s="230">
        <v>0</v>
      </c>
      <c r="R46" s="230">
        <f t="shared" si="0"/>
        <v>4915364.1</v>
      </c>
      <c r="S46" s="229"/>
    </row>
    <row r="47" spans="1:19" s="231" customFormat="1" ht="12.75" hidden="1" outlineLevel="1">
      <c r="A47" s="229" t="s">
        <v>3253</v>
      </c>
      <c r="B47" s="230"/>
      <c r="C47" s="230" t="s">
        <v>3254</v>
      </c>
      <c r="D47" s="230" t="s">
        <v>3255</v>
      </c>
      <c r="E47" s="230">
        <v>4741264.85</v>
      </c>
      <c r="F47" s="230">
        <v>0</v>
      </c>
      <c r="G47" s="230"/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30">
        <v>0</v>
      </c>
      <c r="Q47" s="230">
        <v>0</v>
      </c>
      <c r="R47" s="230">
        <f t="shared" si="0"/>
        <v>4741264.85</v>
      </c>
      <c r="S47" s="229"/>
    </row>
    <row r="48" spans="1:19" s="231" customFormat="1" ht="12.75" hidden="1" outlineLevel="1">
      <c r="A48" s="229" t="s">
        <v>3256</v>
      </c>
      <c r="B48" s="230"/>
      <c r="C48" s="230" t="s">
        <v>3257</v>
      </c>
      <c r="D48" s="230" t="s">
        <v>3258</v>
      </c>
      <c r="E48" s="230">
        <v>727926.84</v>
      </c>
      <c r="F48" s="230">
        <v>324.75</v>
      </c>
      <c r="G48" s="230"/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0</v>
      </c>
      <c r="N48" s="229">
        <v>0</v>
      </c>
      <c r="O48" s="229">
        <v>0</v>
      </c>
      <c r="P48" s="230">
        <v>0</v>
      </c>
      <c r="Q48" s="230">
        <v>0</v>
      </c>
      <c r="R48" s="230">
        <f t="shared" si="0"/>
        <v>728251.59</v>
      </c>
      <c r="S48" s="229"/>
    </row>
    <row r="49" spans="1:19" s="231" customFormat="1" ht="12.75" hidden="1" outlineLevel="1">
      <c r="A49" s="229" t="s">
        <v>3259</v>
      </c>
      <c r="B49" s="230"/>
      <c r="C49" s="230" t="s">
        <v>3260</v>
      </c>
      <c r="D49" s="230" t="s">
        <v>3261</v>
      </c>
      <c r="E49" s="230">
        <v>4633054.64</v>
      </c>
      <c r="F49" s="230">
        <v>0</v>
      </c>
      <c r="G49" s="230"/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30">
        <v>0</v>
      </c>
      <c r="Q49" s="230">
        <v>0</v>
      </c>
      <c r="R49" s="230">
        <f t="shared" si="0"/>
        <v>4633054.64</v>
      </c>
      <c r="S49" s="229"/>
    </row>
    <row r="50" spans="1:19" s="231" customFormat="1" ht="12.75" hidden="1" outlineLevel="1">
      <c r="A50" s="229" t="s">
        <v>1487</v>
      </c>
      <c r="B50" s="230"/>
      <c r="C50" s="230" t="s">
        <v>1488</v>
      </c>
      <c r="D50" s="230" t="s">
        <v>1489</v>
      </c>
      <c r="E50" s="230">
        <v>20801.7</v>
      </c>
      <c r="F50" s="230">
        <v>0</v>
      </c>
      <c r="G50" s="230"/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30">
        <v>0</v>
      </c>
      <c r="Q50" s="230">
        <v>0</v>
      </c>
      <c r="R50" s="230">
        <f t="shared" si="0"/>
        <v>20801.7</v>
      </c>
      <c r="S50" s="229"/>
    </row>
    <row r="51" spans="1:19" s="231" customFormat="1" ht="12.75" hidden="1" outlineLevel="1">
      <c r="A51" s="229" t="s">
        <v>1490</v>
      </c>
      <c r="B51" s="230"/>
      <c r="C51" s="230" t="s">
        <v>1491</v>
      </c>
      <c r="D51" s="230" t="s">
        <v>1492</v>
      </c>
      <c r="E51" s="230">
        <v>19345.2</v>
      </c>
      <c r="F51" s="230">
        <v>0</v>
      </c>
      <c r="G51" s="230"/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30">
        <v>0</v>
      </c>
      <c r="Q51" s="230">
        <v>0</v>
      </c>
      <c r="R51" s="230">
        <f t="shared" si="0"/>
        <v>19345.2</v>
      </c>
      <c r="S51" s="229"/>
    </row>
    <row r="52" spans="1:19" s="231" customFormat="1" ht="12.75" hidden="1" outlineLevel="1">
      <c r="A52" s="229" t="s">
        <v>3262</v>
      </c>
      <c r="B52" s="230"/>
      <c r="C52" s="230" t="s">
        <v>3263</v>
      </c>
      <c r="D52" s="230" t="s">
        <v>3264</v>
      </c>
      <c r="E52" s="230">
        <v>39129.9</v>
      </c>
      <c r="F52" s="230">
        <v>0</v>
      </c>
      <c r="G52" s="230"/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9">
        <v>0</v>
      </c>
      <c r="N52" s="229">
        <v>0</v>
      </c>
      <c r="O52" s="229">
        <v>0</v>
      </c>
      <c r="P52" s="230">
        <v>0</v>
      </c>
      <c r="Q52" s="230">
        <v>0</v>
      </c>
      <c r="R52" s="230">
        <f t="shared" si="0"/>
        <v>39129.9</v>
      </c>
      <c r="S52" s="229"/>
    </row>
    <row r="53" spans="1:19" s="231" customFormat="1" ht="12.75" hidden="1" outlineLevel="1">
      <c r="A53" s="229" t="s">
        <v>3265</v>
      </c>
      <c r="B53" s="230"/>
      <c r="C53" s="230" t="s">
        <v>3266</v>
      </c>
      <c r="D53" s="230" t="s">
        <v>3267</v>
      </c>
      <c r="E53" s="230">
        <v>4088.5</v>
      </c>
      <c r="F53" s="230">
        <v>0</v>
      </c>
      <c r="G53" s="230"/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9">
        <v>0</v>
      </c>
      <c r="P53" s="230">
        <v>0</v>
      </c>
      <c r="Q53" s="230">
        <v>0</v>
      </c>
      <c r="R53" s="230">
        <f t="shared" si="0"/>
        <v>4088.5</v>
      </c>
      <c r="S53" s="229"/>
    </row>
    <row r="54" spans="1:19" s="231" customFormat="1" ht="12.75" hidden="1" outlineLevel="1">
      <c r="A54" s="229" t="s">
        <v>1493</v>
      </c>
      <c r="B54" s="230"/>
      <c r="C54" s="230" t="s">
        <v>1494</v>
      </c>
      <c r="D54" s="230" t="s">
        <v>1495</v>
      </c>
      <c r="E54" s="230">
        <v>-4741000</v>
      </c>
      <c r="F54" s="230">
        <v>0</v>
      </c>
      <c r="G54" s="230"/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30">
        <v>0</v>
      </c>
      <c r="Q54" s="230">
        <v>0</v>
      </c>
      <c r="R54" s="230">
        <f t="shared" si="0"/>
        <v>-4741000</v>
      </c>
      <c r="S54" s="229"/>
    </row>
    <row r="55" spans="1:44" s="254" customFormat="1" ht="12.75" customHeight="1" collapsed="1">
      <c r="A55" s="213" t="s">
        <v>3268</v>
      </c>
      <c r="B55" s="213"/>
      <c r="C55" s="212" t="s">
        <v>2785</v>
      </c>
      <c r="D55" s="214"/>
      <c r="E55" s="116">
        <v>10359475.729999999</v>
      </c>
      <c r="F55" s="116">
        <v>324.75</v>
      </c>
      <c r="G55" s="116">
        <v>0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M55" s="213">
        <v>0</v>
      </c>
      <c r="N55" s="213">
        <v>0</v>
      </c>
      <c r="O55" s="213">
        <v>0</v>
      </c>
      <c r="P55" s="116">
        <v>0</v>
      </c>
      <c r="Q55" s="116">
        <v>0</v>
      </c>
      <c r="R55" s="116">
        <f t="shared" si="0"/>
        <v>10359800.479999999</v>
      </c>
      <c r="S55" s="212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</row>
    <row r="56" spans="1:44" s="259" customFormat="1" ht="12.75" customHeight="1">
      <c r="A56" s="257" t="s">
        <v>2794</v>
      </c>
      <c r="B56" s="217"/>
      <c r="C56" s="218" t="s">
        <v>3269</v>
      </c>
      <c r="D56" s="74"/>
      <c r="E56" s="117">
        <f aca="true" t="shared" si="1" ref="E56:R56">E44-E55</f>
        <v>36728852.359999985</v>
      </c>
      <c r="F56" s="117">
        <f t="shared" si="1"/>
        <v>4606873.49</v>
      </c>
      <c r="G56" s="117">
        <f t="shared" si="1"/>
        <v>0</v>
      </c>
      <c r="H56" s="257">
        <f t="shared" si="1"/>
        <v>0</v>
      </c>
      <c r="I56" s="257">
        <f t="shared" si="1"/>
        <v>0</v>
      </c>
      <c r="J56" s="257">
        <f t="shared" si="1"/>
        <v>0</v>
      </c>
      <c r="K56" s="257">
        <f t="shared" si="1"/>
        <v>0</v>
      </c>
      <c r="L56" s="257">
        <f t="shared" si="1"/>
        <v>0</v>
      </c>
      <c r="M56" s="257">
        <f t="shared" si="1"/>
        <v>0</v>
      </c>
      <c r="N56" s="257">
        <f t="shared" si="1"/>
        <v>0</v>
      </c>
      <c r="O56" s="257">
        <f t="shared" si="1"/>
        <v>0</v>
      </c>
      <c r="P56" s="117">
        <f t="shared" si="1"/>
        <v>0</v>
      </c>
      <c r="Q56" s="117">
        <f t="shared" si="1"/>
        <v>0</v>
      </c>
      <c r="R56" s="117">
        <f t="shared" si="1"/>
        <v>41335725.84999999</v>
      </c>
      <c r="S56" s="225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</row>
    <row r="57" spans="1:44" s="254" customFormat="1" ht="12.75" customHeight="1">
      <c r="A57" s="213"/>
      <c r="B57" s="213"/>
      <c r="C57" s="212"/>
      <c r="D57" s="214"/>
      <c r="E57" s="116"/>
      <c r="F57" s="116"/>
      <c r="G57" s="116"/>
      <c r="H57" s="213"/>
      <c r="I57" s="213"/>
      <c r="J57" s="213"/>
      <c r="K57" s="213"/>
      <c r="L57" s="213"/>
      <c r="M57" s="213"/>
      <c r="N57" s="213"/>
      <c r="O57" s="213"/>
      <c r="P57" s="116"/>
      <c r="Q57" s="116"/>
      <c r="R57" s="116"/>
      <c r="S57" s="212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</row>
    <row r="58" spans="1:44" s="254" customFormat="1" ht="12.75" customHeight="1">
      <c r="A58" s="213" t="s">
        <v>1496</v>
      </c>
      <c r="B58" s="213"/>
      <c r="C58" s="212" t="s">
        <v>2830</v>
      </c>
      <c r="D58" s="214"/>
      <c r="E58" s="116">
        <v>0</v>
      </c>
      <c r="F58" s="116">
        <v>0</v>
      </c>
      <c r="G58" s="116">
        <v>0</v>
      </c>
      <c r="H58" s="213">
        <v>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  <c r="O58" s="213">
        <v>0</v>
      </c>
      <c r="P58" s="116">
        <v>0</v>
      </c>
      <c r="Q58" s="116">
        <v>0</v>
      </c>
      <c r="R58" s="116">
        <f aca="true" t="shared" si="2" ref="R58:R73">E58+F58+G58+P58+Q58</f>
        <v>0</v>
      </c>
      <c r="S58" s="212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</row>
    <row r="59" spans="1:44" s="254" customFormat="1" ht="12.75" customHeight="1">
      <c r="A59" s="213" t="s">
        <v>1497</v>
      </c>
      <c r="B59" s="213"/>
      <c r="C59" s="212" t="s">
        <v>2831</v>
      </c>
      <c r="D59" s="214"/>
      <c r="E59" s="116">
        <v>0</v>
      </c>
      <c r="F59" s="116">
        <v>0</v>
      </c>
      <c r="G59" s="116">
        <v>0</v>
      </c>
      <c r="H59" s="213">
        <v>0</v>
      </c>
      <c r="I59" s="213">
        <v>0</v>
      </c>
      <c r="J59" s="213">
        <v>0</v>
      </c>
      <c r="K59" s="213">
        <v>0</v>
      </c>
      <c r="L59" s="213">
        <v>0</v>
      </c>
      <c r="M59" s="213">
        <v>0</v>
      </c>
      <c r="N59" s="213">
        <v>0</v>
      </c>
      <c r="O59" s="213">
        <v>0</v>
      </c>
      <c r="P59" s="116">
        <v>0</v>
      </c>
      <c r="Q59" s="116">
        <v>0</v>
      </c>
      <c r="R59" s="116">
        <f t="shared" si="2"/>
        <v>0</v>
      </c>
      <c r="S59" s="212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</row>
    <row r="60" spans="1:44" s="254" customFormat="1" ht="12.75" customHeight="1">
      <c r="A60" s="213" t="s">
        <v>1498</v>
      </c>
      <c r="B60" s="213"/>
      <c r="C60" s="212" t="s">
        <v>2832</v>
      </c>
      <c r="D60" s="214"/>
      <c r="E60" s="116">
        <v>0</v>
      </c>
      <c r="F60" s="116">
        <v>0</v>
      </c>
      <c r="G60" s="116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116">
        <v>0</v>
      </c>
      <c r="Q60" s="116">
        <v>0</v>
      </c>
      <c r="R60" s="116">
        <f t="shared" si="2"/>
        <v>0</v>
      </c>
      <c r="S60" s="212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</row>
    <row r="61" spans="1:19" s="231" customFormat="1" ht="12.75" hidden="1" outlineLevel="1">
      <c r="A61" s="229" t="s">
        <v>3273</v>
      </c>
      <c r="B61" s="230"/>
      <c r="C61" s="230" t="s">
        <v>3274</v>
      </c>
      <c r="D61" s="230" t="s">
        <v>3275</v>
      </c>
      <c r="E61" s="230">
        <v>20823.76</v>
      </c>
      <c r="F61" s="230">
        <v>0</v>
      </c>
      <c r="G61" s="230"/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230">
        <v>0</v>
      </c>
      <c r="Q61" s="230">
        <v>0</v>
      </c>
      <c r="R61" s="230">
        <f t="shared" si="2"/>
        <v>20823.76</v>
      </c>
      <c r="S61" s="229"/>
    </row>
    <row r="62" spans="1:19" s="231" customFormat="1" ht="12.75" hidden="1" outlineLevel="1">
      <c r="A62" s="229" t="s">
        <v>1499</v>
      </c>
      <c r="B62" s="230"/>
      <c r="C62" s="230" t="s">
        <v>1500</v>
      </c>
      <c r="D62" s="230" t="s">
        <v>1501</v>
      </c>
      <c r="E62" s="230">
        <v>238.85</v>
      </c>
      <c r="F62" s="230">
        <v>0</v>
      </c>
      <c r="G62" s="230"/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230">
        <v>0</v>
      </c>
      <c r="Q62" s="230">
        <v>0</v>
      </c>
      <c r="R62" s="230">
        <f t="shared" si="2"/>
        <v>238.85</v>
      </c>
      <c r="S62" s="229"/>
    </row>
    <row r="63" spans="1:19" s="231" customFormat="1" ht="12.75" hidden="1" outlineLevel="1">
      <c r="A63" s="229" t="s">
        <v>1502</v>
      </c>
      <c r="B63" s="230"/>
      <c r="C63" s="230" t="s">
        <v>1503</v>
      </c>
      <c r="D63" s="230" t="s">
        <v>1504</v>
      </c>
      <c r="E63" s="230">
        <v>86.04</v>
      </c>
      <c r="F63" s="230">
        <v>0</v>
      </c>
      <c r="G63" s="230"/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230">
        <v>0</v>
      </c>
      <c r="Q63" s="230">
        <v>0</v>
      </c>
      <c r="R63" s="230">
        <f t="shared" si="2"/>
        <v>86.04</v>
      </c>
      <c r="S63" s="229"/>
    </row>
    <row r="64" spans="1:19" s="231" customFormat="1" ht="12.75" hidden="1" outlineLevel="1">
      <c r="A64" s="229" t="s">
        <v>1505</v>
      </c>
      <c r="B64" s="230"/>
      <c r="C64" s="230" t="s">
        <v>1506</v>
      </c>
      <c r="D64" s="230" t="s">
        <v>1507</v>
      </c>
      <c r="E64" s="230">
        <v>39960.52</v>
      </c>
      <c r="F64" s="230">
        <v>0</v>
      </c>
      <c r="G64" s="230"/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0</v>
      </c>
      <c r="O64" s="229">
        <v>0</v>
      </c>
      <c r="P64" s="230">
        <v>0</v>
      </c>
      <c r="Q64" s="230">
        <v>0</v>
      </c>
      <c r="R64" s="230">
        <f t="shared" si="2"/>
        <v>39960.52</v>
      </c>
      <c r="S64" s="229"/>
    </row>
    <row r="65" spans="1:19" s="231" customFormat="1" ht="12.75" hidden="1" outlineLevel="1">
      <c r="A65" s="229" t="s">
        <v>3276</v>
      </c>
      <c r="B65" s="230"/>
      <c r="C65" s="230" t="s">
        <v>3277</v>
      </c>
      <c r="D65" s="230" t="s">
        <v>3278</v>
      </c>
      <c r="E65" s="230">
        <v>125977.64</v>
      </c>
      <c r="F65" s="230">
        <v>-26861.66</v>
      </c>
      <c r="G65" s="230"/>
      <c r="H65" s="229">
        <v>0</v>
      </c>
      <c r="I65" s="229">
        <v>0</v>
      </c>
      <c r="J65" s="229">
        <v>0</v>
      </c>
      <c r="K65" s="229">
        <v>0</v>
      </c>
      <c r="L65" s="229">
        <v>0</v>
      </c>
      <c r="M65" s="229">
        <v>0</v>
      </c>
      <c r="N65" s="229">
        <v>0</v>
      </c>
      <c r="O65" s="229">
        <v>0</v>
      </c>
      <c r="P65" s="230">
        <v>0</v>
      </c>
      <c r="Q65" s="230">
        <v>0</v>
      </c>
      <c r="R65" s="230">
        <f t="shared" si="2"/>
        <v>99115.98</v>
      </c>
      <c r="S65" s="229"/>
    </row>
    <row r="66" spans="1:19" s="231" customFormat="1" ht="12.75" hidden="1" outlineLevel="1">
      <c r="A66" s="229" t="s">
        <v>1508</v>
      </c>
      <c r="B66" s="230"/>
      <c r="C66" s="230" t="s">
        <v>1509</v>
      </c>
      <c r="D66" s="230" t="s">
        <v>1510</v>
      </c>
      <c r="E66" s="230">
        <v>380</v>
      </c>
      <c r="F66" s="230">
        <v>0</v>
      </c>
      <c r="G66" s="230"/>
      <c r="H66" s="229">
        <v>0</v>
      </c>
      <c r="I66" s="229">
        <v>0</v>
      </c>
      <c r="J66" s="229">
        <v>0</v>
      </c>
      <c r="K66" s="229">
        <v>0</v>
      </c>
      <c r="L66" s="229">
        <v>0</v>
      </c>
      <c r="M66" s="229">
        <v>0</v>
      </c>
      <c r="N66" s="229">
        <v>0</v>
      </c>
      <c r="O66" s="229">
        <v>0</v>
      </c>
      <c r="P66" s="230">
        <v>0</v>
      </c>
      <c r="Q66" s="230">
        <v>0</v>
      </c>
      <c r="R66" s="230">
        <f t="shared" si="2"/>
        <v>380</v>
      </c>
      <c r="S66" s="229"/>
    </row>
    <row r="67" spans="1:19" s="231" customFormat="1" ht="12.75" hidden="1" outlineLevel="1">
      <c r="A67" s="229" t="s">
        <v>1511</v>
      </c>
      <c r="B67" s="230"/>
      <c r="C67" s="230" t="s">
        <v>1512</v>
      </c>
      <c r="D67" s="230" t="s">
        <v>1513</v>
      </c>
      <c r="E67" s="230">
        <v>61715.5</v>
      </c>
      <c r="F67" s="230">
        <v>0</v>
      </c>
      <c r="G67" s="230"/>
      <c r="H67" s="229">
        <v>0</v>
      </c>
      <c r="I67" s="229">
        <v>0</v>
      </c>
      <c r="J67" s="229">
        <v>0</v>
      </c>
      <c r="K67" s="229">
        <v>0</v>
      </c>
      <c r="L67" s="229">
        <v>0</v>
      </c>
      <c r="M67" s="229">
        <v>0</v>
      </c>
      <c r="N67" s="229">
        <v>0</v>
      </c>
      <c r="O67" s="229">
        <v>0</v>
      </c>
      <c r="P67" s="230">
        <v>0</v>
      </c>
      <c r="Q67" s="230">
        <v>0</v>
      </c>
      <c r="R67" s="230">
        <f t="shared" si="2"/>
        <v>61715.5</v>
      </c>
      <c r="S67" s="229"/>
    </row>
    <row r="68" spans="1:19" s="231" customFormat="1" ht="12.75" hidden="1" outlineLevel="1">
      <c r="A68" s="229" t="s">
        <v>3279</v>
      </c>
      <c r="B68" s="230"/>
      <c r="C68" s="230" t="s">
        <v>3280</v>
      </c>
      <c r="D68" s="230" t="s">
        <v>3281</v>
      </c>
      <c r="E68" s="230">
        <v>19633.62</v>
      </c>
      <c r="F68" s="230">
        <v>11600</v>
      </c>
      <c r="G68" s="230"/>
      <c r="H68" s="229">
        <v>0</v>
      </c>
      <c r="I68" s="229">
        <v>0</v>
      </c>
      <c r="J68" s="229">
        <v>0</v>
      </c>
      <c r="K68" s="229">
        <v>0</v>
      </c>
      <c r="L68" s="229">
        <v>0</v>
      </c>
      <c r="M68" s="229">
        <v>0</v>
      </c>
      <c r="N68" s="229">
        <v>0</v>
      </c>
      <c r="O68" s="229">
        <v>0</v>
      </c>
      <c r="P68" s="230">
        <v>0</v>
      </c>
      <c r="Q68" s="230">
        <v>0</v>
      </c>
      <c r="R68" s="230">
        <f t="shared" si="2"/>
        <v>31233.62</v>
      </c>
      <c r="S68" s="229"/>
    </row>
    <row r="69" spans="1:19" s="231" customFormat="1" ht="12.75" hidden="1" outlineLevel="1">
      <c r="A69" s="229" t="s">
        <v>3282</v>
      </c>
      <c r="B69" s="230"/>
      <c r="C69" s="230" t="s">
        <v>3283</v>
      </c>
      <c r="D69" s="230" t="s">
        <v>3284</v>
      </c>
      <c r="E69" s="230">
        <v>40.05</v>
      </c>
      <c r="F69" s="230">
        <v>0</v>
      </c>
      <c r="G69" s="230"/>
      <c r="H69" s="229">
        <v>0</v>
      </c>
      <c r="I69" s="229">
        <v>0</v>
      </c>
      <c r="J69" s="229">
        <v>0</v>
      </c>
      <c r="K69" s="229">
        <v>0</v>
      </c>
      <c r="L69" s="229">
        <v>0</v>
      </c>
      <c r="M69" s="229">
        <v>0</v>
      </c>
      <c r="N69" s="229">
        <v>0</v>
      </c>
      <c r="O69" s="229">
        <v>0</v>
      </c>
      <c r="P69" s="230">
        <v>0</v>
      </c>
      <c r="Q69" s="230">
        <v>0</v>
      </c>
      <c r="R69" s="230">
        <f t="shared" si="2"/>
        <v>40.05</v>
      </c>
      <c r="S69" s="229"/>
    </row>
    <row r="70" spans="1:19" s="231" customFormat="1" ht="12.75" hidden="1" outlineLevel="1">
      <c r="A70" s="229" t="s">
        <v>3285</v>
      </c>
      <c r="B70" s="230"/>
      <c r="C70" s="230" t="s">
        <v>3286</v>
      </c>
      <c r="D70" s="230" t="s">
        <v>3287</v>
      </c>
      <c r="E70" s="230">
        <v>644</v>
      </c>
      <c r="F70" s="230">
        <v>0</v>
      </c>
      <c r="G70" s="230"/>
      <c r="H70" s="229">
        <v>0</v>
      </c>
      <c r="I70" s="229">
        <v>0</v>
      </c>
      <c r="J70" s="229">
        <v>0</v>
      </c>
      <c r="K70" s="229">
        <v>0</v>
      </c>
      <c r="L70" s="229">
        <v>0</v>
      </c>
      <c r="M70" s="229">
        <v>0</v>
      </c>
      <c r="N70" s="229">
        <v>0</v>
      </c>
      <c r="O70" s="229">
        <v>0</v>
      </c>
      <c r="P70" s="230">
        <v>0</v>
      </c>
      <c r="Q70" s="230">
        <v>0</v>
      </c>
      <c r="R70" s="230">
        <f t="shared" si="2"/>
        <v>644</v>
      </c>
      <c r="S70" s="229"/>
    </row>
    <row r="71" spans="1:19" s="231" customFormat="1" ht="12.75" hidden="1" outlineLevel="1">
      <c r="A71" s="229" t="s">
        <v>1514</v>
      </c>
      <c r="B71" s="230"/>
      <c r="C71" s="230" t="s">
        <v>1515</v>
      </c>
      <c r="D71" s="230" t="s">
        <v>1516</v>
      </c>
      <c r="E71" s="230">
        <v>101418.67</v>
      </c>
      <c r="F71" s="230">
        <v>0</v>
      </c>
      <c r="G71" s="230"/>
      <c r="H71" s="229">
        <v>0</v>
      </c>
      <c r="I71" s="229">
        <v>0</v>
      </c>
      <c r="J71" s="229">
        <v>0</v>
      </c>
      <c r="K71" s="229">
        <v>0</v>
      </c>
      <c r="L71" s="229">
        <v>0</v>
      </c>
      <c r="M71" s="229">
        <v>0</v>
      </c>
      <c r="N71" s="229">
        <v>0</v>
      </c>
      <c r="O71" s="229">
        <v>0</v>
      </c>
      <c r="P71" s="230">
        <v>0</v>
      </c>
      <c r="Q71" s="230">
        <v>0</v>
      </c>
      <c r="R71" s="230">
        <f t="shared" si="2"/>
        <v>101418.67</v>
      </c>
      <c r="S71" s="229"/>
    </row>
    <row r="72" spans="1:19" s="231" customFormat="1" ht="12.75" hidden="1" outlineLevel="1">
      <c r="A72" s="229" t="s">
        <v>1517</v>
      </c>
      <c r="B72" s="230"/>
      <c r="C72" s="230" t="s">
        <v>1518</v>
      </c>
      <c r="D72" s="230" t="s">
        <v>1519</v>
      </c>
      <c r="E72" s="230">
        <v>43.9</v>
      </c>
      <c r="F72" s="230">
        <v>0</v>
      </c>
      <c r="G72" s="230"/>
      <c r="H72" s="229">
        <v>0</v>
      </c>
      <c r="I72" s="229">
        <v>0</v>
      </c>
      <c r="J72" s="229">
        <v>0</v>
      </c>
      <c r="K72" s="229">
        <v>0</v>
      </c>
      <c r="L72" s="229">
        <v>0</v>
      </c>
      <c r="M72" s="229">
        <v>0</v>
      </c>
      <c r="N72" s="229">
        <v>0</v>
      </c>
      <c r="O72" s="229">
        <v>0</v>
      </c>
      <c r="P72" s="230">
        <v>0</v>
      </c>
      <c r="Q72" s="230">
        <v>0</v>
      </c>
      <c r="R72" s="230">
        <f t="shared" si="2"/>
        <v>43.9</v>
      </c>
      <c r="S72" s="229"/>
    </row>
    <row r="73" spans="1:44" s="254" customFormat="1" ht="12.75" customHeight="1" collapsed="1">
      <c r="A73" s="213" t="s">
        <v>3288</v>
      </c>
      <c r="B73" s="213"/>
      <c r="C73" s="212" t="s">
        <v>3289</v>
      </c>
      <c r="D73" s="214"/>
      <c r="E73" s="116">
        <v>370962.55</v>
      </c>
      <c r="F73" s="116">
        <v>-15261.66</v>
      </c>
      <c r="G73" s="116">
        <v>0</v>
      </c>
      <c r="H73" s="213">
        <v>0</v>
      </c>
      <c r="I73" s="213">
        <v>0</v>
      </c>
      <c r="J73" s="213">
        <v>0</v>
      </c>
      <c r="K73" s="213">
        <v>0</v>
      </c>
      <c r="L73" s="213">
        <v>0</v>
      </c>
      <c r="M73" s="213">
        <v>0</v>
      </c>
      <c r="N73" s="213">
        <v>0</v>
      </c>
      <c r="O73" s="213">
        <v>0</v>
      </c>
      <c r="P73" s="116">
        <v>0</v>
      </c>
      <c r="Q73" s="116">
        <v>0</v>
      </c>
      <c r="R73" s="116">
        <f t="shared" si="2"/>
        <v>355700.89</v>
      </c>
      <c r="S73" s="212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</row>
    <row r="74" spans="1:44" s="254" customFormat="1" ht="12.75" customHeight="1">
      <c r="A74" s="213"/>
      <c r="B74" s="213"/>
      <c r="C74" s="212" t="s">
        <v>3290</v>
      </c>
      <c r="D74" s="214"/>
      <c r="E74" s="116"/>
      <c r="F74" s="116"/>
      <c r="G74" s="116"/>
      <c r="H74" s="213"/>
      <c r="I74" s="213"/>
      <c r="J74" s="213"/>
      <c r="K74" s="213"/>
      <c r="L74" s="213"/>
      <c r="M74" s="213"/>
      <c r="N74" s="213"/>
      <c r="O74" s="213"/>
      <c r="P74" s="116"/>
      <c r="Q74" s="116"/>
      <c r="R74" s="116"/>
      <c r="S74" s="212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</row>
    <row r="75" spans="1:44" s="254" customFormat="1" ht="12.75" customHeight="1">
      <c r="A75" s="213"/>
      <c r="B75" s="213"/>
      <c r="C75" s="212" t="s">
        <v>1520</v>
      </c>
      <c r="D75" s="214"/>
      <c r="E75" s="116">
        <v>0</v>
      </c>
      <c r="F75" s="116">
        <v>0</v>
      </c>
      <c r="G75" s="116">
        <v>0</v>
      </c>
      <c r="H75" s="213"/>
      <c r="I75" s="213"/>
      <c r="J75" s="213"/>
      <c r="K75" s="213"/>
      <c r="L75" s="213"/>
      <c r="M75" s="213"/>
      <c r="N75" s="213"/>
      <c r="O75" s="213"/>
      <c r="P75" s="116">
        <v>0</v>
      </c>
      <c r="Q75" s="116">
        <v>0</v>
      </c>
      <c r="R75" s="116">
        <f aca="true" t="shared" si="3" ref="R75:R93">E75+F75+G75+P75+Q75</f>
        <v>0</v>
      </c>
      <c r="S75" s="212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</row>
    <row r="76" spans="1:44" s="254" customFormat="1" ht="12.75" customHeight="1">
      <c r="A76" s="213"/>
      <c r="B76" s="213"/>
      <c r="C76" s="212" t="s">
        <v>3292</v>
      </c>
      <c r="D76" s="214"/>
      <c r="E76" s="116">
        <v>0</v>
      </c>
      <c r="F76" s="116">
        <v>0</v>
      </c>
      <c r="G76" s="116">
        <v>7691945.88</v>
      </c>
      <c r="H76" s="213"/>
      <c r="I76" s="213"/>
      <c r="J76" s="213"/>
      <c r="K76" s="213"/>
      <c r="L76" s="213"/>
      <c r="M76" s="213"/>
      <c r="N76" s="213"/>
      <c r="O76" s="213"/>
      <c r="P76" s="116">
        <v>0</v>
      </c>
      <c r="Q76" s="116">
        <v>0</v>
      </c>
      <c r="R76" s="116">
        <f t="shared" si="3"/>
        <v>7691945.88</v>
      </c>
      <c r="S76" s="212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</row>
    <row r="77" spans="1:44" s="254" customFormat="1" ht="12.75" customHeight="1">
      <c r="A77" s="213"/>
      <c r="B77" s="213"/>
      <c r="C77" s="212" t="s">
        <v>3293</v>
      </c>
      <c r="D77" s="214"/>
      <c r="E77" s="116">
        <v>0</v>
      </c>
      <c r="F77" s="116">
        <v>0</v>
      </c>
      <c r="G77" s="116">
        <v>0</v>
      </c>
      <c r="H77" s="213"/>
      <c r="I77" s="213"/>
      <c r="J77" s="213"/>
      <c r="K77" s="213"/>
      <c r="L77" s="213"/>
      <c r="M77" s="213"/>
      <c r="N77" s="213"/>
      <c r="O77" s="213"/>
      <c r="P77" s="116">
        <v>0</v>
      </c>
      <c r="Q77" s="116">
        <v>0</v>
      </c>
      <c r="R77" s="116">
        <f t="shared" si="3"/>
        <v>0</v>
      </c>
      <c r="S77" s="212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</row>
    <row r="78" spans="1:44" s="254" customFormat="1" ht="12.75" customHeight="1">
      <c r="A78" s="213" t="s">
        <v>3294</v>
      </c>
      <c r="B78" s="213"/>
      <c r="C78" s="212" t="s">
        <v>3295</v>
      </c>
      <c r="D78" s="214"/>
      <c r="E78" s="116">
        <v>0</v>
      </c>
      <c r="F78" s="116">
        <v>0</v>
      </c>
      <c r="G78" s="116">
        <v>0</v>
      </c>
      <c r="H78" s="213">
        <v>0</v>
      </c>
      <c r="I78" s="213">
        <v>0</v>
      </c>
      <c r="J78" s="213">
        <v>0</v>
      </c>
      <c r="K78" s="213">
        <v>0</v>
      </c>
      <c r="L78" s="213">
        <v>0</v>
      </c>
      <c r="M78" s="213">
        <v>0</v>
      </c>
      <c r="N78" s="213">
        <v>0</v>
      </c>
      <c r="O78" s="213">
        <v>0</v>
      </c>
      <c r="P78" s="116">
        <v>0</v>
      </c>
      <c r="Q78" s="116">
        <v>0</v>
      </c>
      <c r="R78" s="116">
        <f t="shared" si="3"/>
        <v>0</v>
      </c>
      <c r="S78" s="212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</row>
    <row r="79" spans="1:44" s="254" customFormat="1" ht="12.75" customHeight="1">
      <c r="A79" s="213"/>
      <c r="B79" s="213"/>
      <c r="C79" s="212" t="s">
        <v>1521</v>
      </c>
      <c r="D79" s="214"/>
      <c r="E79" s="116">
        <v>0</v>
      </c>
      <c r="F79" s="116">
        <v>0</v>
      </c>
      <c r="G79" s="116">
        <v>2757158.14</v>
      </c>
      <c r="H79" s="213"/>
      <c r="I79" s="213"/>
      <c r="J79" s="213"/>
      <c r="K79" s="213"/>
      <c r="L79" s="213"/>
      <c r="M79" s="213"/>
      <c r="N79" s="213"/>
      <c r="O79" s="213"/>
      <c r="P79" s="116">
        <v>0</v>
      </c>
      <c r="Q79" s="116">
        <v>0</v>
      </c>
      <c r="R79" s="116">
        <f t="shared" si="3"/>
        <v>2757158.14</v>
      </c>
      <c r="S79" s="212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</row>
    <row r="80" spans="1:44" s="254" customFormat="1" ht="12.75" customHeight="1">
      <c r="A80" s="213" t="s">
        <v>3333</v>
      </c>
      <c r="B80" s="213"/>
      <c r="C80" s="212" t="s">
        <v>2835</v>
      </c>
      <c r="D80" s="214"/>
      <c r="E80" s="116">
        <v>0</v>
      </c>
      <c r="F80" s="116">
        <v>0</v>
      </c>
      <c r="G80" s="116">
        <v>0</v>
      </c>
      <c r="H80" s="213">
        <v>0</v>
      </c>
      <c r="I80" s="213">
        <v>0</v>
      </c>
      <c r="J80" s="213">
        <v>0</v>
      </c>
      <c r="K80" s="213">
        <v>0</v>
      </c>
      <c r="L80" s="213">
        <v>0</v>
      </c>
      <c r="M80" s="213">
        <v>0</v>
      </c>
      <c r="N80" s="213">
        <v>0</v>
      </c>
      <c r="O80" s="213">
        <v>0</v>
      </c>
      <c r="P80" s="116">
        <v>0</v>
      </c>
      <c r="Q80" s="116">
        <v>0</v>
      </c>
      <c r="R80" s="116">
        <f t="shared" si="3"/>
        <v>0</v>
      </c>
      <c r="S80" s="212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</row>
    <row r="81" spans="1:19" s="231" customFormat="1" ht="12.75" hidden="1" outlineLevel="1">
      <c r="A81" s="229" t="s">
        <v>3334</v>
      </c>
      <c r="B81" s="230"/>
      <c r="C81" s="230" t="s">
        <v>3335</v>
      </c>
      <c r="D81" s="230" t="s">
        <v>3336</v>
      </c>
      <c r="E81" s="230">
        <v>855494.79</v>
      </c>
      <c r="F81" s="230">
        <v>0</v>
      </c>
      <c r="G81" s="230"/>
      <c r="H81" s="229">
        <v>0</v>
      </c>
      <c r="I81" s="229">
        <v>0</v>
      </c>
      <c r="J81" s="229">
        <v>0</v>
      </c>
      <c r="K81" s="229">
        <v>0</v>
      </c>
      <c r="L81" s="229">
        <v>0</v>
      </c>
      <c r="M81" s="229">
        <v>0</v>
      </c>
      <c r="N81" s="229">
        <v>0</v>
      </c>
      <c r="O81" s="229">
        <v>0</v>
      </c>
      <c r="P81" s="230">
        <v>0</v>
      </c>
      <c r="Q81" s="230">
        <v>0</v>
      </c>
      <c r="R81" s="230">
        <f t="shared" si="3"/>
        <v>855494.79</v>
      </c>
      <c r="S81" s="229"/>
    </row>
    <row r="82" spans="1:19" s="231" customFormat="1" ht="12.75" hidden="1" outlineLevel="1">
      <c r="A82" s="229" t="s">
        <v>3337</v>
      </c>
      <c r="B82" s="230"/>
      <c r="C82" s="230" t="s">
        <v>3338</v>
      </c>
      <c r="D82" s="230" t="s">
        <v>3339</v>
      </c>
      <c r="E82" s="230">
        <v>90168.69</v>
      </c>
      <c r="F82" s="230">
        <v>0</v>
      </c>
      <c r="G82" s="230"/>
      <c r="H82" s="229">
        <v>0</v>
      </c>
      <c r="I82" s="229">
        <v>0</v>
      </c>
      <c r="J82" s="229">
        <v>0</v>
      </c>
      <c r="K82" s="229">
        <v>183.22</v>
      </c>
      <c r="L82" s="229">
        <v>0</v>
      </c>
      <c r="M82" s="229">
        <v>11535.85</v>
      </c>
      <c r="N82" s="229">
        <v>0</v>
      </c>
      <c r="O82" s="229">
        <v>0</v>
      </c>
      <c r="P82" s="230">
        <v>11719.07</v>
      </c>
      <c r="Q82" s="230">
        <v>0</v>
      </c>
      <c r="R82" s="230">
        <f t="shared" si="3"/>
        <v>101887.76000000001</v>
      </c>
      <c r="S82" s="229"/>
    </row>
    <row r="83" spans="1:19" s="231" customFormat="1" ht="12.75" hidden="1" outlineLevel="1">
      <c r="A83" s="229" t="s">
        <v>3343</v>
      </c>
      <c r="B83" s="230"/>
      <c r="C83" s="230" t="s">
        <v>3344</v>
      </c>
      <c r="D83" s="230" t="s">
        <v>3345</v>
      </c>
      <c r="E83" s="230">
        <v>821698.38</v>
      </c>
      <c r="F83" s="230">
        <v>17884.26</v>
      </c>
      <c r="G83" s="230"/>
      <c r="H83" s="229">
        <v>0</v>
      </c>
      <c r="I83" s="229">
        <v>4093</v>
      </c>
      <c r="J83" s="229">
        <v>39711.05</v>
      </c>
      <c r="K83" s="229">
        <v>4874.59</v>
      </c>
      <c r="L83" s="229">
        <v>0</v>
      </c>
      <c r="M83" s="229">
        <v>6879.1</v>
      </c>
      <c r="N83" s="229">
        <v>0</v>
      </c>
      <c r="O83" s="229">
        <v>0</v>
      </c>
      <c r="P83" s="230">
        <v>55557.74</v>
      </c>
      <c r="Q83" s="230">
        <v>0</v>
      </c>
      <c r="R83" s="230">
        <f t="shared" si="3"/>
        <v>895140.38</v>
      </c>
      <c r="S83" s="229"/>
    </row>
    <row r="84" spans="1:19" s="231" customFormat="1" ht="12.75" hidden="1" outlineLevel="1">
      <c r="A84" s="229" t="s">
        <v>3346</v>
      </c>
      <c r="B84" s="230"/>
      <c r="C84" s="230" t="s">
        <v>3347</v>
      </c>
      <c r="D84" s="230" t="s">
        <v>3348</v>
      </c>
      <c r="E84" s="230">
        <v>123632.66</v>
      </c>
      <c r="F84" s="230">
        <v>0</v>
      </c>
      <c r="G84" s="230"/>
      <c r="H84" s="229">
        <v>0</v>
      </c>
      <c r="I84" s="229">
        <v>0</v>
      </c>
      <c r="J84" s="229">
        <v>0</v>
      </c>
      <c r="K84" s="229">
        <v>0</v>
      </c>
      <c r="L84" s="229">
        <v>0</v>
      </c>
      <c r="M84" s="229">
        <v>0</v>
      </c>
      <c r="N84" s="229">
        <v>0</v>
      </c>
      <c r="O84" s="229">
        <v>0</v>
      </c>
      <c r="P84" s="230">
        <v>0</v>
      </c>
      <c r="Q84" s="230">
        <v>0</v>
      </c>
      <c r="R84" s="230">
        <f t="shared" si="3"/>
        <v>123632.66</v>
      </c>
      <c r="S84" s="229"/>
    </row>
    <row r="85" spans="1:19" s="231" customFormat="1" ht="12.75" hidden="1" outlineLevel="1">
      <c r="A85" s="229" t="s">
        <v>1522</v>
      </c>
      <c r="B85" s="230"/>
      <c r="C85" s="230" t="s">
        <v>1523</v>
      </c>
      <c r="D85" s="230" t="s">
        <v>1524</v>
      </c>
      <c r="E85" s="230">
        <v>1652.64</v>
      </c>
      <c r="F85" s="230">
        <v>0</v>
      </c>
      <c r="G85" s="230"/>
      <c r="H85" s="229">
        <v>0</v>
      </c>
      <c r="I85" s="229">
        <v>0</v>
      </c>
      <c r="J85" s="229">
        <v>0</v>
      </c>
      <c r="K85" s="229">
        <v>12.8</v>
      </c>
      <c r="L85" s="229">
        <v>0</v>
      </c>
      <c r="M85" s="229">
        <v>0</v>
      </c>
      <c r="N85" s="229">
        <v>0</v>
      </c>
      <c r="O85" s="229">
        <v>0</v>
      </c>
      <c r="P85" s="230">
        <v>12.8</v>
      </c>
      <c r="Q85" s="230">
        <v>0</v>
      </c>
      <c r="R85" s="230">
        <f t="shared" si="3"/>
        <v>1665.44</v>
      </c>
      <c r="S85" s="229"/>
    </row>
    <row r="86" spans="1:19" s="231" customFormat="1" ht="12.75" hidden="1" outlineLevel="1">
      <c r="A86" s="229" t="s">
        <v>1525</v>
      </c>
      <c r="B86" s="230"/>
      <c r="C86" s="230" t="s">
        <v>1526</v>
      </c>
      <c r="D86" s="230" t="s">
        <v>1527</v>
      </c>
      <c r="E86" s="230">
        <v>17695</v>
      </c>
      <c r="F86" s="230">
        <v>0</v>
      </c>
      <c r="G86" s="230"/>
      <c r="H86" s="229">
        <v>0</v>
      </c>
      <c r="I86" s="229">
        <v>0</v>
      </c>
      <c r="J86" s="229">
        <v>0</v>
      </c>
      <c r="K86" s="229">
        <v>0</v>
      </c>
      <c r="L86" s="229">
        <v>0</v>
      </c>
      <c r="M86" s="229">
        <v>0</v>
      </c>
      <c r="N86" s="229">
        <v>0</v>
      </c>
      <c r="O86" s="229">
        <v>0</v>
      </c>
      <c r="P86" s="230">
        <v>0</v>
      </c>
      <c r="Q86" s="230">
        <v>0</v>
      </c>
      <c r="R86" s="230">
        <f t="shared" si="3"/>
        <v>17695</v>
      </c>
      <c r="S86" s="229"/>
    </row>
    <row r="87" spans="1:19" s="231" customFormat="1" ht="12.75" hidden="1" outlineLevel="1">
      <c r="A87" s="229" t="s">
        <v>3349</v>
      </c>
      <c r="B87" s="230"/>
      <c r="C87" s="230" t="s">
        <v>3350</v>
      </c>
      <c r="D87" s="230" t="s">
        <v>3351</v>
      </c>
      <c r="E87" s="230">
        <v>5927.5</v>
      </c>
      <c r="F87" s="230">
        <v>-2250</v>
      </c>
      <c r="G87" s="230"/>
      <c r="H87" s="229">
        <v>0</v>
      </c>
      <c r="I87" s="229">
        <v>0</v>
      </c>
      <c r="J87" s="229">
        <v>0</v>
      </c>
      <c r="K87" s="229">
        <v>0</v>
      </c>
      <c r="L87" s="229">
        <v>0</v>
      </c>
      <c r="M87" s="229">
        <v>0</v>
      </c>
      <c r="N87" s="229">
        <v>0</v>
      </c>
      <c r="O87" s="229">
        <v>0</v>
      </c>
      <c r="P87" s="230">
        <v>0</v>
      </c>
      <c r="Q87" s="230">
        <v>0</v>
      </c>
      <c r="R87" s="230">
        <f t="shared" si="3"/>
        <v>3677.5</v>
      </c>
      <c r="S87" s="229"/>
    </row>
    <row r="88" spans="1:19" s="231" customFormat="1" ht="12.75" hidden="1" outlineLevel="1">
      <c r="A88" s="229" t="s">
        <v>1528</v>
      </c>
      <c r="B88" s="230"/>
      <c r="C88" s="230" t="s">
        <v>1529</v>
      </c>
      <c r="D88" s="230" t="s">
        <v>1530</v>
      </c>
      <c r="E88" s="230">
        <v>3260</v>
      </c>
      <c r="F88" s="230">
        <v>0</v>
      </c>
      <c r="G88" s="230"/>
      <c r="H88" s="229">
        <v>0</v>
      </c>
      <c r="I88" s="229">
        <v>0</v>
      </c>
      <c r="J88" s="229">
        <v>0</v>
      </c>
      <c r="K88" s="229">
        <v>1130.5</v>
      </c>
      <c r="L88" s="229">
        <v>0</v>
      </c>
      <c r="M88" s="229">
        <v>0</v>
      </c>
      <c r="N88" s="229">
        <v>0</v>
      </c>
      <c r="O88" s="229">
        <v>0</v>
      </c>
      <c r="P88" s="230">
        <v>1130.5</v>
      </c>
      <c r="Q88" s="230">
        <v>0</v>
      </c>
      <c r="R88" s="230">
        <f t="shared" si="3"/>
        <v>4390.5</v>
      </c>
      <c r="S88" s="229"/>
    </row>
    <row r="89" spans="1:19" s="231" customFormat="1" ht="12.75" hidden="1" outlineLevel="1">
      <c r="A89" s="229" t="s">
        <v>1531</v>
      </c>
      <c r="B89" s="230"/>
      <c r="C89" s="230" t="s">
        <v>1532</v>
      </c>
      <c r="D89" s="230" t="s">
        <v>1533</v>
      </c>
      <c r="E89" s="230">
        <v>0</v>
      </c>
      <c r="F89" s="230">
        <v>0</v>
      </c>
      <c r="G89" s="230"/>
      <c r="H89" s="229">
        <v>0</v>
      </c>
      <c r="I89" s="229">
        <v>0</v>
      </c>
      <c r="J89" s="229">
        <v>0</v>
      </c>
      <c r="K89" s="229">
        <v>186</v>
      </c>
      <c r="L89" s="229">
        <v>0</v>
      </c>
      <c r="M89" s="229">
        <v>0</v>
      </c>
      <c r="N89" s="229">
        <v>0</v>
      </c>
      <c r="O89" s="229">
        <v>0</v>
      </c>
      <c r="P89" s="230">
        <v>186</v>
      </c>
      <c r="Q89" s="230">
        <v>0</v>
      </c>
      <c r="R89" s="230">
        <f t="shared" si="3"/>
        <v>186</v>
      </c>
      <c r="S89" s="229"/>
    </row>
    <row r="90" spans="1:19" s="231" customFormat="1" ht="12.75" hidden="1" outlineLevel="1">
      <c r="A90" s="229" t="s">
        <v>1534</v>
      </c>
      <c r="B90" s="230"/>
      <c r="C90" s="230" t="s">
        <v>1535</v>
      </c>
      <c r="D90" s="230" t="s">
        <v>1536</v>
      </c>
      <c r="E90" s="230">
        <v>0</v>
      </c>
      <c r="F90" s="230">
        <v>0</v>
      </c>
      <c r="G90" s="230"/>
      <c r="H90" s="229">
        <v>0</v>
      </c>
      <c r="I90" s="229">
        <v>0</v>
      </c>
      <c r="J90" s="229">
        <v>0</v>
      </c>
      <c r="K90" s="229">
        <v>520</v>
      </c>
      <c r="L90" s="229">
        <v>0</v>
      </c>
      <c r="M90" s="229">
        <v>0</v>
      </c>
      <c r="N90" s="229">
        <v>0</v>
      </c>
      <c r="O90" s="229">
        <v>0</v>
      </c>
      <c r="P90" s="230">
        <v>520</v>
      </c>
      <c r="Q90" s="230">
        <v>0</v>
      </c>
      <c r="R90" s="230">
        <f t="shared" si="3"/>
        <v>520</v>
      </c>
      <c r="S90" s="229"/>
    </row>
    <row r="91" spans="1:19" s="231" customFormat="1" ht="12.75" hidden="1" outlineLevel="1">
      <c r="A91" s="229" t="s">
        <v>1537</v>
      </c>
      <c r="B91" s="230"/>
      <c r="C91" s="230" t="s">
        <v>1538</v>
      </c>
      <c r="D91" s="230" t="s">
        <v>1539</v>
      </c>
      <c r="E91" s="230">
        <v>0</v>
      </c>
      <c r="F91" s="230">
        <v>0</v>
      </c>
      <c r="G91" s="230"/>
      <c r="H91" s="229">
        <v>0</v>
      </c>
      <c r="I91" s="229">
        <v>0</v>
      </c>
      <c r="J91" s="229">
        <v>0</v>
      </c>
      <c r="K91" s="229">
        <v>1975</v>
      </c>
      <c r="L91" s="229">
        <v>0</v>
      </c>
      <c r="M91" s="229">
        <v>0</v>
      </c>
      <c r="N91" s="229">
        <v>0</v>
      </c>
      <c r="O91" s="229">
        <v>0</v>
      </c>
      <c r="P91" s="230">
        <v>1975</v>
      </c>
      <c r="Q91" s="230">
        <v>0</v>
      </c>
      <c r="R91" s="230">
        <f t="shared" si="3"/>
        <v>1975</v>
      </c>
      <c r="S91" s="229"/>
    </row>
    <row r="92" spans="1:19" s="231" customFormat="1" ht="12.75" hidden="1" outlineLevel="1">
      <c r="A92" s="229" t="s">
        <v>1540</v>
      </c>
      <c r="B92" s="230"/>
      <c r="C92" s="230" t="s">
        <v>1541</v>
      </c>
      <c r="D92" s="230" t="s">
        <v>1542</v>
      </c>
      <c r="E92" s="230">
        <v>5651383.39</v>
      </c>
      <c r="F92" s="230">
        <v>0</v>
      </c>
      <c r="G92" s="230"/>
      <c r="H92" s="229">
        <v>0</v>
      </c>
      <c r="I92" s="229">
        <v>0</v>
      </c>
      <c r="J92" s="229">
        <v>0</v>
      </c>
      <c r="K92" s="229">
        <v>0</v>
      </c>
      <c r="L92" s="229">
        <v>0</v>
      </c>
      <c r="M92" s="229">
        <v>0</v>
      </c>
      <c r="N92" s="229">
        <v>0</v>
      </c>
      <c r="O92" s="229">
        <v>0</v>
      </c>
      <c r="P92" s="230">
        <v>0</v>
      </c>
      <c r="Q92" s="230">
        <v>0</v>
      </c>
      <c r="R92" s="230">
        <f t="shared" si="3"/>
        <v>5651383.39</v>
      </c>
      <c r="S92" s="229"/>
    </row>
    <row r="93" spans="1:44" s="254" customFormat="1" ht="12.75" customHeight="1" collapsed="1">
      <c r="A93" s="213" t="s">
        <v>1543</v>
      </c>
      <c r="B93" s="213"/>
      <c r="C93" s="212" t="s">
        <v>2836</v>
      </c>
      <c r="D93" s="214"/>
      <c r="E93" s="116">
        <v>7570913.049999999</v>
      </c>
      <c r="F93" s="116">
        <v>15634.26</v>
      </c>
      <c r="G93" s="116">
        <v>0</v>
      </c>
      <c r="H93" s="213">
        <v>0</v>
      </c>
      <c r="I93" s="213">
        <v>4093</v>
      </c>
      <c r="J93" s="213">
        <v>39711.05</v>
      </c>
      <c r="K93" s="213">
        <v>8882.11</v>
      </c>
      <c r="L93" s="213">
        <v>0</v>
      </c>
      <c r="M93" s="213">
        <v>18414.95</v>
      </c>
      <c r="N93" s="213">
        <v>0</v>
      </c>
      <c r="O93" s="213">
        <v>0</v>
      </c>
      <c r="P93" s="116">
        <v>71101.11</v>
      </c>
      <c r="Q93" s="116">
        <v>0</v>
      </c>
      <c r="R93" s="116">
        <f t="shared" si="3"/>
        <v>7657648.419999999</v>
      </c>
      <c r="S93" s="212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</row>
    <row r="94" spans="1:44" s="254" customFormat="1" ht="12.75" customHeight="1">
      <c r="A94" s="257" t="s">
        <v>2794</v>
      </c>
      <c r="B94" s="217"/>
      <c r="C94" s="211" t="s">
        <v>3361</v>
      </c>
      <c r="D94" s="65"/>
      <c r="E94" s="117">
        <f aca="true" t="shared" si="4" ref="E94:R94">+E56+E58+E59+E60+E73+E75+E76+E77+E78+E79+E80+E93</f>
        <v>44670727.95999998</v>
      </c>
      <c r="F94" s="117">
        <f t="shared" si="4"/>
        <v>4607246.09</v>
      </c>
      <c r="G94" s="117">
        <f t="shared" si="4"/>
        <v>10449104.02</v>
      </c>
      <c r="H94" s="257">
        <f t="shared" si="4"/>
        <v>0</v>
      </c>
      <c r="I94" s="257">
        <f t="shared" si="4"/>
        <v>4093</v>
      </c>
      <c r="J94" s="257">
        <f t="shared" si="4"/>
        <v>39711.05</v>
      </c>
      <c r="K94" s="257">
        <f t="shared" si="4"/>
        <v>8882.11</v>
      </c>
      <c r="L94" s="257">
        <f t="shared" si="4"/>
        <v>0</v>
      </c>
      <c r="M94" s="257">
        <f t="shared" si="4"/>
        <v>18414.95</v>
      </c>
      <c r="N94" s="257">
        <f t="shared" si="4"/>
        <v>0</v>
      </c>
      <c r="O94" s="257">
        <f t="shared" si="4"/>
        <v>0</v>
      </c>
      <c r="P94" s="117">
        <f t="shared" si="4"/>
        <v>71101.11</v>
      </c>
      <c r="Q94" s="117">
        <f t="shared" si="4"/>
        <v>0</v>
      </c>
      <c r="R94" s="117">
        <f t="shared" si="4"/>
        <v>59798179.17999999</v>
      </c>
      <c r="S94" s="256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</row>
    <row r="95" spans="1:44" s="254" customFormat="1" ht="12.75" customHeight="1">
      <c r="A95" s="213"/>
      <c r="B95" s="213"/>
      <c r="C95" s="212"/>
      <c r="D95" s="214"/>
      <c r="E95" s="116"/>
      <c r="F95" s="116"/>
      <c r="G95" s="116"/>
      <c r="H95" s="213"/>
      <c r="I95" s="213"/>
      <c r="J95" s="213"/>
      <c r="K95" s="213"/>
      <c r="L95" s="213"/>
      <c r="M95" s="213"/>
      <c r="N95" s="213"/>
      <c r="O95" s="213"/>
      <c r="P95" s="116"/>
      <c r="Q95" s="116"/>
      <c r="R95" s="116"/>
      <c r="S95" s="212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</row>
    <row r="96" spans="1:44" s="254" customFormat="1" ht="12.75" customHeight="1">
      <c r="A96" s="255"/>
      <c r="B96" s="217" t="s">
        <v>2837</v>
      </c>
      <c r="C96" s="218"/>
      <c r="D96" s="74"/>
      <c r="E96" s="116"/>
      <c r="F96" s="116"/>
      <c r="G96" s="116"/>
      <c r="H96" s="255"/>
      <c r="I96" s="255"/>
      <c r="J96" s="255"/>
      <c r="K96" s="255"/>
      <c r="L96" s="255"/>
      <c r="M96" s="255"/>
      <c r="N96" s="255"/>
      <c r="O96" s="255"/>
      <c r="P96" s="116"/>
      <c r="Q96" s="116"/>
      <c r="R96" s="116"/>
      <c r="S96" s="256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</row>
    <row r="97" spans="1:19" s="231" customFormat="1" ht="12.75" hidden="1" outlineLevel="1">
      <c r="A97" s="229" t="s">
        <v>3362</v>
      </c>
      <c r="B97" s="230"/>
      <c r="C97" s="230" t="s">
        <v>3363</v>
      </c>
      <c r="D97" s="230" t="s">
        <v>3364</v>
      </c>
      <c r="E97" s="230">
        <v>21902363.97</v>
      </c>
      <c r="F97" s="230">
        <v>218905.57</v>
      </c>
      <c r="G97" s="230"/>
      <c r="H97" s="229">
        <v>0</v>
      </c>
      <c r="I97" s="229">
        <v>0</v>
      </c>
      <c r="J97" s="229">
        <v>0</v>
      </c>
      <c r="K97" s="229">
        <v>0</v>
      </c>
      <c r="L97" s="229">
        <v>0</v>
      </c>
      <c r="M97" s="229">
        <v>0</v>
      </c>
      <c r="N97" s="229">
        <v>0</v>
      </c>
      <c r="O97" s="229">
        <v>0</v>
      </c>
      <c r="P97" s="230">
        <v>0</v>
      </c>
      <c r="Q97" s="230">
        <v>0</v>
      </c>
      <c r="R97" s="230">
        <f aca="true" t="shared" si="5" ref="R97:R128">E97+F97+G97+P97+Q97</f>
        <v>22121269.54</v>
      </c>
      <c r="S97" s="229"/>
    </row>
    <row r="98" spans="1:19" s="231" customFormat="1" ht="12.75" hidden="1" outlineLevel="1">
      <c r="A98" s="229" t="s">
        <v>3365</v>
      </c>
      <c r="B98" s="230"/>
      <c r="C98" s="230" t="s">
        <v>3366</v>
      </c>
      <c r="D98" s="230" t="s">
        <v>3367</v>
      </c>
      <c r="E98" s="230">
        <v>571447.82</v>
      </c>
      <c r="F98" s="230">
        <v>87784.82</v>
      </c>
      <c r="G98" s="230"/>
      <c r="H98" s="229">
        <v>0</v>
      </c>
      <c r="I98" s="229">
        <v>0</v>
      </c>
      <c r="J98" s="229">
        <v>0</v>
      </c>
      <c r="K98" s="229">
        <v>0</v>
      </c>
      <c r="L98" s="229">
        <v>0</v>
      </c>
      <c r="M98" s="229">
        <v>0</v>
      </c>
      <c r="N98" s="229">
        <v>0</v>
      </c>
      <c r="O98" s="229">
        <v>0</v>
      </c>
      <c r="P98" s="230">
        <v>0</v>
      </c>
      <c r="Q98" s="230">
        <v>0</v>
      </c>
      <c r="R98" s="230">
        <f t="shared" si="5"/>
        <v>659232.6399999999</v>
      </c>
      <c r="S98" s="229"/>
    </row>
    <row r="99" spans="1:19" s="231" customFormat="1" ht="12.75" hidden="1" outlineLevel="1">
      <c r="A99" s="229" t="s">
        <v>3368</v>
      </c>
      <c r="B99" s="230"/>
      <c r="C99" s="230" t="s">
        <v>3369</v>
      </c>
      <c r="D99" s="230" t="s">
        <v>3370</v>
      </c>
      <c r="E99" s="230">
        <v>3650660.95</v>
      </c>
      <c r="F99" s="230">
        <v>224935.84</v>
      </c>
      <c r="G99" s="230"/>
      <c r="H99" s="229">
        <v>0</v>
      </c>
      <c r="I99" s="229">
        <v>0</v>
      </c>
      <c r="J99" s="229">
        <v>0</v>
      </c>
      <c r="K99" s="229">
        <v>0</v>
      </c>
      <c r="L99" s="229">
        <v>0</v>
      </c>
      <c r="M99" s="229">
        <v>0</v>
      </c>
      <c r="N99" s="229">
        <v>0</v>
      </c>
      <c r="O99" s="229">
        <v>0</v>
      </c>
      <c r="P99" s="230">
        <v>0</v>
      </c>
      <c r="Q99" s="230">
        <v>0</v>
      </c>
      <c r="R99" s="230">
        <f t="shared" si="5"/>
        <v>3875596.79</v>
      </c>
      <c r="S99" s="229"/>
    </row>
    <row r="100" spans="1:19" s="231" customFormat="1" ht="12.75" hidden="1" outlineLevel="1">
      <c r="A100" s="229" t="s">
        <v>3371</v>
      </c>
      <c r="B100" s="230"/>
      <c r="C100" s="230" t="s">
        <v>3372</v>
      </c>
      <c r="D100" s="230" t="s">
        <v>3373</v>
      </c>
      <c r="E100" s="230">
        <v>4195492.11</v>
      </c>
      <c r="F100" s="230">
        <v>18604.27</v>
      </c>
      <c r="G100" s="230"/>
      <c r="H100" s="229">
        <v>0</v>
      </c>
      <c r="I100" s="229">
        <v>0</v>
      </c>
      <c r="J100" s="229">
        <v>0</v>
      </c>
      <c r="K100" s="229">
        <v>0</v>
      </c>
      <c r="L100" s="229">
        <v>0</v>
      </c>
      <c r="M100" s="229">
        <v>0</v>
      </c>
      <c r="N100" s="229">
        <v>0</v>
      </c>
      <c r="O100" s="229">
        <v>0</v>
      </c>
      <c r="P100" s="230">
        <v>0</v>
      </c>
      <c r="Q100" s="230">
        <v>0</v>
      </c>
      <c r="R100" s="230">
        <f t="shared" si="5"/>
        <v>4214096.38</v>
      </c>
      <c r="S100" s="229"/>
    </row>
    <row r="101" spans="1:19" s="231" customFormat="1" ht="12.75" hidden="1" outlineLevel="1">
      <c r="A101" s="229" t="s">
        <v>3374</v>
      </c>
      <c r="B101" s="230"/>
      <c r="C101" s="230" t="s">
        <v>3375</v>
      </c>
      <c r="D101" s="230" t="s">
        <v>3376</v>
      </c>
      <c r="E101" s="230">
        <v>8473481.55</v>
      </c>
      <c r="F101" s="230">
        <v>14606.18</v>
      </c>
      <c r="G101" s="230"/>
      <c r="H101" s="229">
        <v>0</v>
      </c>
      <c r="I101" s="229">
        <v>4556.22</v>
      </c>
      <c r="J101" s="229">
        <v>0</v>
      </c>
      <c r="K101" s="229">
        <v>0</v>
      </c>
      <c r="L101" s="229">
        <v>0</v>
      </c>
      <c r="M101" s="229">
        <v>0</v>
      </c>
      <c r="N101" s="229">
        <v>0</v>
      </c>
      <c r="O101" s="229">
        <v>82712.84</v>
      </c>
      <c r="P101" s="230">
        <v>87269.06</v>
      </c>
      <c r="Q101" s="230">
        <v>0</v>
      </c>
      <c r="R101" s="230">
        <f t="shared" si="5"/>
        <v>8575356.790000001</v>
      </c>
      <c r="S101" s="229"/>
    </row>
    <row r="102" spans="1:19" s="231" customFormat="1" ht="12.75" hidden="1" outlineLevel="1">
      <c r="A102" s="229" t="s">
        <v>3377</v>
      </c>
      <c r="B102" s="230"/>
      <c r="C102" s="230" t="s">
        <v>3378</v>
      </c>
      <c r="D102" s="230" t="s">
        <v>3379</v>
      </c>
      <c r="E102" s="230">
        <v>4587699.75</v>
      </c>
      <c r="F102" s="230">
        <v>34534.45</v>
      </c>
      <c r="G102" s="230"/>
      <c r="H102" s="229">
        <v>40189.9</v>
      </c>
      <c r="I102" s="229">
        <v>81928.68</v>
      </c>
      <c r="J102" s="229">
        <v>0</v>
      </c>
      <c r="K102" s="229">
        <v>0</v>
      </c>
      <c r="L102" s="229">
        <v>0</v>
      </c>
      <c r="M102" s="229">
        <v>0</v>
      </c>
      <c r="N102" s="229">
        <v>0</v>
      </c>
      <c r="O102" s="229">
        <v>93288.858</v>
      </c>
      <c r="P102" s="230">
        <v>215407.43799999997</v>
      </c>
      <c r="Q102" s="230">
        <v>0</v>
      </c>
      <c r="R102" s="230">
        <f t="shared" si="5"/>
        <v>4837641.638</v>
      </c>
      <c r="S102" s="229"/>
    </row>
    <row r="103" spans="1:19" s="231" customFormat="1" ht="12.75" hidden="1" outlineLevel="1">
      <c r="A103" s="229" t="s">
        <v>3380</v>
      </c>
      <c r="B103" s="230"/>
      <c r="C103" s="230" t="s">
        <v>3381</v>
      </c>
      <c r="D103" s="230" t="s">
        <v>3382</v>
      </c>
      <c r="E103" s="230">
        <v>2277551.811</v>
      </c>
      <c r="F103" s="230">
        <v>1000</v>
      </c>
      <c r="G103" s="230"/>
      <c r="H103" s="229">
        <v>17392.679</v>
      </c>
      <c r="I103" s="229">
        <v>47641.694</v>
      </c>
      <c r="J103" s="229">
        <v>0</v>
      </c>
      <c r="K103" s="229">
        <v>0</v>
      </c>
      <c r="L103" s="229">
        <v>16260.19</v>
      </c>
      <c r="M103" s="229">
        <v>41909.031</v>
      </c>
      <c r="N103" s="229">
        <v>0</v>
      </c>
      <c r="O103" s="229">
        <v>66852.537</v>
      </c>
      <c r="P103" s="230">
        <v>190056.131</v>
      </c>
      <c r="Q103" s="230">
        <v>0</v>
      </c>
      <c r="R103" s="230">
        <f t="shared" si="5"/>
        <v>2468607.9420000003</v>
      </c>
      <c r="S103" s="229"/>
    </row>
    <row r="104" spans="1:19" s="231" customFormat="1" ht="12.75" hidden="1" outlineLevel="1">
      <c r="A104" s="229" t="s">
        <v>3383</v>
      </c>
      <c r="B104" s="230"/>
      <c r="C104" s="230" t="s">
        <v>3384</v>
      </c>
      <c r="D104" s="230" t="s">
        <v>3385</v>
      </c>
      <c r="E104" s="230">
        <v>5270209.674</v>
      </c>
      <c r="F104" s="230">
        <v>118685.773</v>
      </c>
      <c r="G104" s="230"/>
      <c r="H104" s="229">
        <v>-8.739</v>
      </c>
      <c r="I104" s="229">
        <v>48909.016</v>
      </c>
      <c r="J104" s="229">
        <v>0</v>
      </c>
      <c r="K104" s="229">
        <v>0</v>
      </c>
      <c r="L104" s="229">
        <v>0</v>
      </c>
      <c r="M104" s="229">
        <v>17489.801</v>
      </c>
      <c r="N104" s="229">
        <v>0</v>
      </c>
      <c r="O104" s="229">
        <v>6068.59</v>
      </c>
      <c r="P104" s="230">
        <v>72458.668</v>
      </c>
      <c r="Q104" s="230">
        <v>0</v>
      </c>
      <c r="R104" s="230">
        <f t="shared" si="5"/>
        <v>5461354.114999999</v>
      </c>
      <c r="S104" s="229"/>
    </row>
    <row r="105" spans="1:19" s="231" customFormat="1" ht="12.75" hidden="1" outlineLevel="1">
      <c r="A105" s="229" t="s">
        <v>3386</v>
      </c>
      <c r="B105" s="230"/>
      <c r="C105" s="230" t="s">
        <v>3387</v>
      </c>
      <c r="D105" s="230" t="s">
        <v>3388</v>
      </c>
      <c r="E105" s="230">
        <v>1517856.774</v>
      </c>
      <c r="F105" s="230">
        <v>0</v>
      </c>
      <c r="G105" s="230"/>
      <c r="H105" s="229">
        <v>489485.663</v>
      </c>
      <c r="I105" s="229">
        <v>0</v>
      </c>
      <c r="J105" s="229">
        <v>0</v>
      </c>
      <c r="K105" s="229">
        <v>0</v>
      </c>
      <c r="L105" s="229">
        <v>0</v>
      </c>
      <c r="M105" s="229">
        <v>39558.409</v>
      </c>
      <c r="N105" s="229">
        <v>0</v>
      </c>
      <c r="O105" s="229">
        <v>0</v>
      </c>
      <c r="P105" s="230">
        <v>529044.072</v>
      </c>
      <c r="Q105" s="230">
        <v>0</v>
      </c>
      <c r="R105" s="230">
        <f t="shared" si="5"/>
        <v>2046900.846</v>
      </c>
      <c r="S105" s="229"/>
    </row>
    <row r="106" spans="1:19" s="231" customFormat="1" ht="12.75" hidden="1" outlineLevel="1">
      <c r="A106" s="229" t="s">
        <v>3389</v>
      </c>
      <c r="B106" s="230"/>
      <c r="C106" s="230" t="s">
        <v>3390</v>
      </c>
      <c r="D106" s="230" t="s">
        <v>3391</v>
      </c>
      <c r="E106" s="230">
        <v>1812976.508</v>
      </c>
      <c r="F106" s="230">
        <v>0</v>
      </c>
      <c r="G106" s="230"/>
      <c r="H106" s="229">
        <v>56719.197</v>
      </c>
      <c r="I106" s="229">
        <v>0</v>
      </c>
      <c r="J106" s="229">
        <v>71458.504</v>
      </c>
      <c r="K106" s="229">
        <v>0</v>
      </c>
      <c r="L106" s="229">
        <v>0</v>
      </c>
      <c r="M106" s="229">
        <v>732.44</v>
      </c>
      <c r="N106" s="229">
        <v>0</v>
      </c>
      <c r="O106" s="229">
        <v>0</v>
      </c>
      <c r="P106" s="230">
        <v>128910.141</v>
      </c>
      <c r="Q106" s="230">
        <v>0</v>
      </c>
      <c r="R106" s="230">
        <f t="shared" si="5"/>
        <v>1941886.649</v>
      </c>
      <c r="S106" s="229"/>
    </row>
    <row r="107" spans="1:19" s="231" customFormat="1" ht="12.75" hidden="1" outlineLevel="1">
      <c r="A107" s="229" t="s">
        <v>3392</v>
      </c>
      <c r="B107" s="230"/>
      <c r="C107" s="230" t="s">
        <v>3393</v>
      </c>
      <c r="D107" s="230" t="s">
        <v>3394</v>
      </c>
      <c r="E107" s="230">
        <v>936809.199</v>
      </c>
      <c r="F107" s="230">
        <v>5874.63</v>
      </c>
      <c r="G107" s="230"/>
      <c r="H107" s="229">
        <v>2837.416</v>
      </c>
      <c r="I107" s="229">
        <v>7950.619</v>
      </c>
      <c r="J107" s="229">
        <v>0</v>
      </c>
      <c r="K107" s="229">
        <v>0</v>
      </c>
      <c r="L107" s="229">
        <v>0</v>
      </c>
      <c r="M107" s="229">
        <v>1339.12</v>
      </c>
      <c r="N107" s="229">
        <v>0</v>
      </c>
      <c r="O107" s="229">
        <v>2895.93</v>
      </c>
      <c r="P107" s="230">
        <v>15023.085</v>
      </c>
      <c r="Q107" s="230">
        <v>0</v>
      </c>
      <c r="R107" s="230">
        <f t="shared" si="5"/>
        <v>957706.914</v>
      </c>
      <c r="S107" s="229"/>
    </row>
    <row r="108" spans="1:19" s="231" customFormat="1" ht="12.75" hidden="1" outlineLevel="1">
      <c r="A108" s="229" t="s">
        <v>3395</v>
      </c>
      <c r="B108" s="230"/>
      <c r="C108" s="230" t="s">
        <v>3396</v>
      </c>
      <c r="D108" s="230" t="s">
        <v>3397</v>
      </c>
      <c r="E108" s="230">
        <v>30378.741</v>
      </c>
      <c r="F108" s="230">
        <v>0</v>
      </c>
      <c r="G108" s="230"/>
      <c r="H108" s="229">
        <v>0</v>
      </c>
      <c r="I108" s="229">
        <v>0</v>
      </c>
      <c r="J108" s="229">
        <v>0</v>
      </c>
      <c r="K108" s="229">
        <v>0</v>
      </c>
      <c r="L108" s="229">
        <v>0</v>
      </c>
      <c r="M108" s="229">
        <v>0</v>
      </c>
      <c r="N108" s="229">
        <v>0</v>
      </c>
      <c r="O108" s="229">
        <v>0</v>
      </c>
      <c r="P108" s="230">
        <v>0</v>
      </c>
      <c r="Q108" s="230">
        <v>0</v>
      </c>
      <c r="R108" s="230">
        <f t="shared" si="5"/>
        <v>30378.741</v>
      </c>
      <c r="S108" s="229"/>
    </row>
    <row r="109" spans="1:19" s="231" customFormat="1" ht="12.75" hidden="1" outlineLevel="1">
      <c r="A109" s="229" t="s">
        <v>3398</v>
      </c>
      <c r="B109" s="230"/>
      <c r="C109" s="230" t="s">
        <v>3399</v>
      </c>
      <c r="D109" s="230" t="s">
        <v>3400</v>
      </c>
      <c r="E109" s="230">
        <v>84845.69</v>
      </c>
      <c r="F109" s="230">
        <v>-2870.71</v>
      </c>
      <c r="G109" s="230"/>
      <c r="H109" s="229">
        <v>2567.84</v>
      </c>
      <c r="I109" s="229">
        <v>-80.84</v>
      </c>
      <c r="J109" s="229">
        <v>-302.32</v>
      </c>
      <c r="K109" s="229">
        <v>0</v>
      </c>
      <c r="L109" s="229">
        <v>559.03</v>
      </c>
      <c r="M109" s="229">
        <v>790.92</v>
      </c>
      <c r="N109" s="229">
        <v>0</v>
      </c>
      <c r="O109" s="229">
        <v>1341.58</v>
      </c>
      <c r="P109" s="230">
        <v>4876.21</v>
      </c>
      <c r="Q109" s="230">
        <v>0</v>
      </c>
      <c r="R109" s="230">
        <f t="shared" si="5"/>
        <v>86851.19</v>
      </c>
      <c r="S109" s="229"/>
    </row>
    <row r="110" spans="1:44" s="254" customFormat="1" ht="12.75" customHeight="1" collapsed="1">
      <c r="A110" s="213" t="s">
        <v>3401</v>
      </c>
      <c r="B110" s="213"/>
      <c r="C110" s="212" t="s">
        <v>2786</v>
      </c>
      <c r="D110" s="214"/>
      <c r="E110" s="116">
        <v>55311774.547</v>
      </c>
      <c r="F110" s="116">
        <v>722060.8230000001</v>
      </c>
      <c r="G110" s="116">
        <v>1762741.128</v>
      </c>
      <c r="H110" s="213">
        <v>609183.956</v>
      </c>
      <c r="I110" s="213">
        <v>190905.389</v>
      </c>
      <c r="J110" s="213">
        <v>71156.184</v>
      </c>
      <c r="K110" s="213">
        <v>0</v>
      </c>
      <c r="L110" s="213">
        <v>16819.22</v>
      </c>
      <c r="M110" s="213">
        <v>101819.721</v>
      </c>
      <c r="N110" s="213">
        <v>0</v>
      </c>
      <c r="O110" s="213">
        <v>253160.33499999996</v>
      </c>
      <c r="P110" s="116">
        <v>1243044.8049999997</v>
      </c>
      <c r="Q110" s="116">
        <v>0</v>
      </c>
      <c r="R110" s="116">
        <f t="shared" si="5"/>
        <v>59039621.302999996</v>
      </c>
      <c r="S110" s="212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</row>
    <row r="111" spans="1:19" s="231" customFormat="1" ht="12.75" hidden="1" outlineLevel="1">
      <c r="A111" s="229" t="s">
        <v>3402</v>
      </c>
      <c r="B111" s="230"/>
      <c r="C111" s="230" t="s">
        <v>3403</v>
      </c>
      <c r="D111" s="230" t="s">
        <v>3404</v>
      </c>
      <c r="E111" s="230">
        <v>6183231.44</v>
      </c>
      <c r="F111" s="230">
        <v>46962.04</v>
      </c>
      <c r="G111" s="230"/>
      <c r="H111" s="229">
        <v>0</v>
      </c>
      <c r="I111" s="229">
        <v>0</v>
      </c>
      <c r="J111" s="229">
        <v>0</v>
      </c>
      <c r="K111" s="229">
        <v>0</v>
      </c>
      <c r="L111" s="229">
        <v>0</v>
      </c>
      <c r="M111" s="229">
        <v>0</v>
      </c>
      <c r="N111" s="229">
        <v>0</v>
      </c>
      <c r="O111" s="229">
        <v>0</v>
      </c>
      <c r="P111" s="230">
        <v>0</v>
      </c>
      <c r="Q111" s="230">
        <v>0</v>
      </c>
      <c r="R111" s="230">
        <f t="shared" si="5"/>
        <v>6230193.48</v>
      </c>
      <c r="S111" s="229"/>
    </row>
    <row r="112" spans="1:19" s="231" customFormat="1" ht="12.75" hidden="1" outlineLevel="1">
      <c r="A112" s="229" t="s">
        <v>3405</v>
      </c>
      <c r="B112" s="230"/>
      <c r="C112" s="230" t="s">
        <v>3406</v>
      </c>
      <c r="D112" s="230" t="s">
        <v>3407</v>
      </c>
      <c r="E112" s="230">
        <v>76970.37</v>
      </c>
      <c r="F112" s="230">
        <v>9897.26</v>
      </c>
      <c r="G112" s="230"/>
      <c r="H112" s="229">
        <v>0</v>
      </c>
      <c r="I112" s="229">
        <v>0</v>
      </c>
      <c r="J112" s="229">
        <v>0</v>
      </c>
      <c r="K112" s="229">
        <v>0</v>
      </c>
      <c r="L112" s="229">
        <v>0</v>
      </c>
      <c r="M112" s="229">
        <v>0</v>
      </c>
      <c r="N112" s="229">
        <v>0</v>
      </c>
      <c r="O112" s="229">
        <v>0</v>
      </c>
      <c r="P112" s="230">
        <v>0</v>
      </c>
      <c r="Q112" s="230">
        <v>0</v>
      </c>
      <c r="R112" s="230">
        <f t="shared" si="5"/>
        <v>86867.62999999999</v>
      </c>
      <c r="S112" s="229"/>
    </row>
    <row r="113" spans="1:19" s="231" customFormat="1" ht="12.75" hidden="1" outlineLevel="1">
      <c r="A113" s="229" t="s">
        <v>3408</v>
      </c>
      <c r="B113" s="230"/>
      <c r="C113" s="230" t="s">
        <v>3409</v>
      </c>
      <c r="D113" s="230" t="s">
        <v>3410</v>
      </c>
      <c r="E113" s="230">
        <v>896742.45</v>
      </c>
      <c r="F113" s="230">
        <v>26393.47</v>
      </c>
      <c r="G113" s="230"/>
      <c r="H113" s="229">
        <v>0</v>
      </c>
      <c r="I113" s="229">
        <v>0</v>
      </c>
      <c r="J113" s="229">
        <v>0</v>
      </c>
      <c r="K113" s="229">
        <v>0</v>
      </c>
      <c r="L113" s="229">
        <v>0</v>
      </c>
      <c r="M113" s="229">
        <v>0</v>
      </c>
      <c r="N113" s="229">
        <v>0</v>
      </c>
      <c r="O113" s="229">
        <v>0</v>
      </c>
      <c r="P113" s="230">
        <v>0</v>
      </c>
      <c r="Q113" s="230">
        <v>0</v>
      </c>
      <c r="R113" s="230">
        <f t="shared" si="5"/>
        <v>923135.9199999999</v>
      </c>
      <c r="S113" s="229"/>
    </row>
    <row r="114" spans="1:19" s="231" customFormat="1" ht="12.75" hidden="1" outlineLevel="1">
      <c r="A114" s="229" t="s">
        <v>3411</v>
      </c>
      <c r="B114" s="230"/>
      <c r="C114" s="230" t="s">
        <v>3412</v>
      </c>
      <c r="D114" s="230" t="s">
        <v>3413</v>
      </c>
      <c r="E114" s="230">
        <v>1447.27</v>
      </c>
      <c r="F114" s="230">
        <v>876.86</v>
      </c>
      <c r="G114" s="230"/>
      <c r="H114" s="229">
        <v>0</v>
      </c>
      <c r="I114" s="229">
        <v>0</v>
      </c>
      <c r="J114" s="229">
        <v>0</v>
      </c>
      <c r="K114" s="229">
        <v>0</v>
      </c>
      <c r="L114" s="229">
        <v>0</v>
      </c>
      <c r="M114" s="229">
        <v>0</v>
      </c>
      <c r="N114" s="229">
        <v>0</v>
      </c>
      <c r="O114" s="229">
        <v>0</v>
      </c>
      <c r="P114" s="230">
        <v>0</v>
      </c>
      <c r="Q114" s="230">
        <v>0</v>
      </c>
      <c r="R114" s="230">
        <f t="shared" si="5"/>
        <v>2324.13</v>
      </c>
      <c r="S114" s="229"/>
    </row>
    <row r="115" spans="1:19" s="231" customFormat="1" ht="12.75" hidden="1" outlineLevel="1">
      <c r="A115" s="229" t="s">
        <v>3414</v>
      </c>
      <c r="B115" s="230"/>
      <c r="C115" s="230" t="s">
        <v>3415</v>
      </c>
      <c r="D115" s="230" t="s">
        <v>3416</v>
      </c>
      <c r="E115" s="230">
        <v>2389408.516</v>
      </c>
      <c r="F115" s="230">
        <v>4225.84</v>
      </c>
      <c r="G115" s="230"/>
      <c r="H115" s="229">
        <v>0</v>
      </c>
      <c r="I115" s="229">
        <v>1319.21</v>
      </c>
      <c r="J115" s="229">
        <v>0</v>
      </c>
      <c r="K115" s="229">
        <v>0</v>
      </c>
      <c r="L115" s="229">
        <v>0</v>
      </c>
      <c r="M115" s="229">
        <v>0</v>
      </c>
      <c r="N115" s="229">
        <v>0</v>
      </c>
      <c r="O115" s="229">
        <v>24021.73</v>
      </c>
      <c r="P115" s="230">
        <v>25340.94</v>
      </c>
      <c r="Q115" s="230">
        <v>0</v>
      </c>
      <c r="R115" s="230">
        <f t="shared" si="5"/>
        <v>2418975.2959999996</v>
      </c>
      <c r="S115" s="229"/>
    </row>
    <row r="116" spans="1:19" s="231" customFormat="1" ht="12.75" hidden="1" outlineLevel="1">
      <c r="A116" s="229" t="s">
        <v>3417</v>
      </c>
      <c r="B116" s="230"/>
      <c r="C116" s="230" t="s">
        <v>3418</v>
      </c>
      <c r="D116" s="230" t="s">
        <v>3419</v>
      </c>
      <c r="E116" s="230">
        <v>1252379.175</v>
      </c>
      <c r="F116" s="230">
        <v>9519.61</v>
      </c>
      <c r="G116" s="230"/>
      <c r="H116" s="229">
        <v>11494.37</v>
      </c>
      <c r="I116" s="229">
        <v>23689.91</v>
      </c>
      <c r="J116" s="229">
        <v>0</v>
      </c>
      <c r="K116" s="229">
        <v>0</v>
      </c>
      <c r="L116" s="229">
        <v>0</v>
      </c>
      <c r="M116" s="229">
        <v>0</v>
      </c>
      <c r="N116" s="229">
        <v>0</v>
      </c>
      <c r="O116" s="229">
        <v>27000.997</v>
      </c>
      <c r="P116" s="230">
        <v>62185.277</v>
      </c>
      <c r="Q116" s="230">
        <v>0</v>
      </c>
      <c r="R116" s="230">
        <f t="shared" si="5"/>
        <v>1324084.0620000002</v>
      </c>
      <c r="S116" s="229"/>
    </row>
    <row r="117" spans="1:19" s="231" customFormat="1" ht="12.75" hidden="1" outlineLevel="1">
      <c r="A117" s="229" t="s">
        <v>3420</v>
      </c>
      <c r="B117" s="230"/>
      <c r="C117" s="230" t="s">
        <v>3421</v>
      </c>
      <c r="D117" s="230" t="s">
        <v>3422</v>
      </c>
      <c r="E117" s="230">
        <v>625110.979</v>
      </c>
      <c r="F117" s="230">
        <v>76.5</v>
      </c>
      <c r="G117" s="230"/>
      <c r="H117" s="229">
        <v>4957.765</v>
      </c>
      <c r="I117" s="229">
        <v>13367.332</v>
      </c>
      <c r="J117" s="229">
        <v>0</v>
      </c>
      <c r="K117" s="229">
        <v>0</v>
      </c>
      <c r="L117" s="229">
        <v>4695.46</v>
      </c>
      <c r="M117" s="229">
        <v>10829.1</v>
      </c>
      <c r="N117" s="229">
        <v>0</v>
      </c>
      <c r="O117" s="229">
        <v>18976.6</v>
      </c>
      <c r="P117" s="230">
        <v>52826.257</v>
      </c>
      <c r="Q117" s="230">
        <v>0</v>
      </c>
      <c r="R117" s="230">
        <f t="shared" si="5"/>
        <v>678013.736</v>
      </c>
      <c r="S117" s="229"/>
    </row>
    <row r="118" spans="1:19" s="231" customFormat="1" ht="12.75" hidden="1" outlineLevel="1">
      <c r="A118" s="229" t="s">
        <v>3423</v>
      </c>
      <c r="B118" s="230"/>
      <c r="C118" s="230" t="s">
        <v>3424</v>
      </c>
      <c r="D118" s="230" t="s">
        <v>3425</v>
      </c>
      <c r="E118" s="230">
        <v>1474804.747</v>
      </c>
      <c r="F118" s="230">
        <v>33626.239</v>
      </c>
      <c r="G118" s="230"/>
      <c r="H118" s="229">
        <v>0.649</v>
      </c>
      <c r="I118" s="229">
        <v>13293.439</v>
      </c>
      <c r="J118" s="229">
        <v>0</v>
      </c>
      <c r="K118" s="229">
        <v>0</v>
      </c>
      <c r="L118" s="229">
        <v>0</v>
      </c>
      <c r="M118" s="229">
        <v>4934.525</v>
      </c>
      <c r="N118" s="229">
        <v>0</v>
      </c>
      <c r="O118" s="229">
        <v>1760.81</v>
      </c>
      <c r="P118" s="230">
        <v>19989.423</v>
      </c>
      <c r="Q118" s="230">
        <v>0</v>
      </c>
      <c r="R118" s="230">
        <f t="shared" si="5"/>
        <v>1528420.409</v>
      </c>
      <c r="S118" s="229"/>
    </row>
    <row r="119" spans="1:19" s="231" customFormat="1" ht="12.75" hidden="1" outlineLevel="1">
      <c r="A119" s="229" t="s">
        <v>3426</v>
      </c>
      <c r="B119" s="230"/>
      <c r="C119" s="230" t="s">
        <v>3427</v>
      </c>
      <c r="D119" s="230" t="s">
        <v>3428</v>
      </c>
      <c r="E119" s="230">
        <v>420821.549</v>
      </c>
      <c r="F119" s="230">
        <v>0</v>
      </c>
      <c r="G119" s="230"/>
      <c r="H119" s="229">
        <v>139229.014</v>
      </c>
      <c r="I119" s="229">
        <v>0</v>
      </c>
      <c r="J119" s="229">
        <v>0</v>
      </c>
      <c r="K119" s="229">
        <v>0</v>
      </c>
      <c r="L119" s="229">
        <v>0</v>
      </c>
      <c r="M119" s="229">
        <v>10337.838</v>
      </c>
      <c r="N119" s="229">
        <v>0</v>
      </c>
      <c r="O119" s="229">
        <v>0</v>
      </c>
      <c r="P119" s="230">
        <v>149566.85199999998</v>
      </c>
      <c r="Q119" s="230">
        <v>0</v>
      </c>
      <c r="R119" s="230">
        <f t="shared" si="5"/>
        <v>570388.401</v>
      </c>
      <c r="S119" s="229"/>
    </row>
    <row r="120" spans="1:19" s="231" customFormat="1" ht="12.75" hidden="1" outlineLevel="1">
      <c r="A120" s="229" t="s">
        <v>3429</v>
      </c>
      <c r="B120" s="230"/>
      <c r="C120" s="230" t="s">
        <v>3430</v>
      </c>
      <c r="D120" s="230" t="s">
        <v>627</v>
      </c>
      <c r="E120" s="230">
        <v>501608.005</v>
      </c>
      <c r="F120" s="230">
        <v>0</v>
      </c>
      <c r="G120" s="230"/>
      <c r="H120" s="229">
        <v>15051.703</v>
      </c>
      <c r="I120" s="229">
        <v>0</v>
      </c>
      <c r="J120" s="229">
        <v>19751.637</v>
      </c>
      <c r="K120" s="229">
        <v>0</v>
      </c>
      <c r="L120" s="229">
        <v>0</v>
      </c>
      <c r="M120" s="229">
        <v>54.5</v>
      </c>
      <c r="N120" s="229">
        <v>0</v>
      </c>
      <c r="O120" s="229">
        <v>0</v>
      </c>
      <c r="P120" s="230">
        <v>34857.84</v>
      </c>
      <c r="Q120" s="230">
        <v>0</v>
      </c>
      <c r="R120" s="230">
        <f t="shared" si="5"/>
        <v>536465.845</v>
      </c>
      <c r="S120" s="229"/>
    </row>
    <row r="121" spans="1:19" s="231" customFormat="1" ht="12.75" hidden="1" outlineLevel="1">
      <c r="A121" s="229" t="s">
        <v>628</v>
      </c>
      <c r="B121" s="230"/>
      <c r="C121" s="230" t="s">
        <v>629</v>
      </c>
      <c r="D121" s="230" t="s">
        <v>630</v>
      </c>
      <c r="E121" s="230">
        <v>7262.32</v>
      </c>
      <c r="F121" s="230">
        <v>118.75</v>
      </c>
      <c r="G121" s="230"/>
      <c r="H121" s="229">
        <v>208.75</v>
      </c>
      <c r="I121" s="229">
        <v>60.168</v>
      </c>
      <c r="J121" s="229">
        <v>0</v>
      </c>
      <c r="K121" s="229">
        <v>0</v>
      </c>
      <c r="L121" s="229">
        <v>0</v>
      </c>
      <c r="M121" s="229">
        <v>0</v>
      </c>
      <c r="N121" s="229">
        <v>0</v>
      </c>
      <c r="O121" s="229">
        <v>119.96</v>
      </c>
      <c r="P121" s="230">
        <v>388.878</v>
      </c>
      <c r="Q121" s="230">
        <v>0</v>
      </c>
      <c r="R121" s="230">
        <f t="shared" si="5"/>
        <v>7769.947999999999</v>
      </c>
      <c r="S121" s="229"/>
    </row>
    <row r="122" spans="1:19" s="231" customFormat="1" ht="12.75" hidden="1" outlineLevel="1">
      <c r="A122" s="229" t="s">
        <v>631</v>
      </c>
      <c r="B122" s="230"/>
      <c r="C122" s="230" t="s">
        <v>632</v>
      </c>
      <c r="D122" s="230" t="s">
        <v>633</v>
      </c>
      <c r="E122" s="230">
        <v>27977.05</v>
      </c>
      <c r="F122" s="230">
        <v>0</v>
      </c>
      <c r="G122" s="230"/>
      <c r="H122" s="229">
        <v>0</v>
      </c>
      <c r="I122" s="229">
        <v>0</v>
      </c>
      <c r="J122" s="229">
        <v>0</v>
      </c>
      <c r="K122" s="229">
        <v>0</v>
      </c>
      <c r="L122" s="229">
        <v>0</v>
      </c>
      <c r="M122" s="229">
        <v>0</v>
      </c>
      <c r="N122" s="229">
        <v>0</v>
      </c>
      <c r="O122" s="229">
        <v>0</v>
      </c>
      <c r="P122" s="230">
        <v>0</v>
      </c>
      <c r="Q122" s="230">
        <v>0</v>
      </c>
      <c r="R122" s="230">
        <f t="shared" si="5"/>
        <v>27977.05</v>
      </c>
      <c r="S122" s="229"/>
    </row>
    <row r="123" spans="1:19" s="231" customFormat="1" ht="12.75" hidden="1" outlineLevel="1">
      <c r="A123" s="229" t="s">
        <v>634</v>
      </c>
      <c r="B123" s="230"/>
      <c r="C123" s="230" t="s">
        <v>635</v>
      </c>
      <c r="D123" s="230" t="s">
        <v>636</v>
      </c>
      <c r="E123" s="230">
        <v>39.68</v>
      </c>
      <c r="F123" s="230">
        <v>0</v>
      </c>
      <c r="G123" s="230"/>
      <c r="H123" s="229">
        <v>0</v>
      </c>
      <c r="I123" s="229">
        <v>0</v>
      </c>
      <c r="J123" s="229">
        <v>0</v>
      </c>
      <c r="K123" s="229">
        <v>0</v>
      </c>
      <c r="L123" s="229">
        <v>0</v>
      </c>
      <c r="M123" s="229">
        <v>0</v>
      </c>
      <c r="N123" s="229">
        <v>0</v>
      </c>
      <c r="O123" s="229">
        <v>0</v>
      </c>
      <c r="P123" s="230">
        <v>0</v>
      </c>
      <c r="Q123" s="230">
        <v>0</v>
      </c>
      <c r="R123" s="230">
        <f t="shared" si="5"/>
        <v>39.68</v>
      </c>
      <c r="S123" s="229"/>
    </row>
    <row r="124" spans="1:19" s="231" customFormat="1" ht="12.75" hidden="1" outlineLevel="1">
      <c r="A124" s="229" t="s">
        <v>637</v>
      </c>
      <c r="B124" s="230"/>
      <c r="C124" s="230" t="s">
        <v>638</v>
      </c>
      <c r="D124" s="230" t="s">
        <v>639</v>
      </c>
      <c r="E124" s="230">
        <v>14067.37</v>
      </c>
      <c r="F124" s="230">
        <v>-475.96</v>
      </c>
      <c r="G124" s="230"/>
      <c r="H124" s="229">
        <v>425.75</v>
      </c>
      <c r="I124" s="229">
        <v>-13.4</v>
      </c>
      <c r="J124" s="229">
        <v>-50.14</v>
      </c>
      <c r="K124" s="229">
        <v>0</v>
      </c>
      <c r="L124" s="229">
        <v>92.69</v>
      </c>
      <c r="M124" s="229">
        <v>131.14</v>
      </c>
      <c r="N124" s="229">
        <v>0</v>
      </c>
      <c r="O124" s="229">
        <v>222.44</v>
      </c>
      <c r="P124" s="230">
        <v>808.48</v>
      </c>
      <c r="Q124" s="230">
        <v>0</v>
      </c>
      <c r="R124" s="230">
        <f t="shared" si="5"/>
        <v>14399.890000000001</v>
      </c>
      <c r="S124" s="229"/>
    </row>
    <row r="125" spans="1:19" s="231" customFormat="1" ht="12.75" hidden="1" outlineLevel="1">
      <c r="A125" s="229" t="s">
        <v>640</v>
      </c>
      <c r="B125" s="230"/>
      <c r="C125" s="230" t="s">
        <v>641</v>
      </c>
      <c r="D125" s="230" t="s">
        <v>642</v>
      </c>
      <c r="E125" s="230">
        <v>1448.3039999999999</v>
      </c>
      <c r="F125" s="230">
        <v>0</v>
      </c>
      <c r="G125" s="230"/>
      <c r="H125" s="229">
        <v>0</v>
      </c>
      <c r="I125" s="229">
        <v>0</v>
      </c>
      <c r="J125" s="229">
        <v>0</v>
      </c>
      <c r="K125" s="229">
        <v>0</v>
      </c>
      <c r="L125" s="229">
        <v>0</v>
      </c>
      <c r="M125" s="229">
        <v>0</v>
      </c>
      <c r="N125" s="229">
        <v>0</v>
      </c>
      <c r="O125" s="229">
        <v>0</v>
      </c>
      <c r="P125" s="230">
        <v>0</v>
      </c>
      <c r="Q125" s="230">
        <v>0</v>
      </c>
      <c r="R125" s="230">
        <f t="shared" si="5"/>
        <v>1448.3039999999999</v>
      </c>
      <c r="S125" s="229"/>
    </row>
    <row r="126" spans="1:44" s="254" customFormat="1" ht="12.75" customHeight="1" collapsed="1">
      <c r="A126" s="213" t="s">
        <v>643</v>
      </c>
      <c r="B126" s="213"/>
      <c r="C126" s="212" t="s">
        <v>2838</v>
      </c>
      <c r="D126" s="214"/>
      <c r="E126" s="116">
        <v>13873319.225000005</v>
      </c>
      <c r="F126" s="116">
        <v>131220.60900000003</v>
      </c>
      <c r="G126" s="116">
        <v>392406.448</v>
      </c>
      <c r="H126" s="213">
        <v>171368.00100000002</v>
      </c>
      <c r="I126" s="213">
        <v>51716.65899999999</v>
      </c>
      <c r="J126" s="213">
        <v>19701.497</v>
      </c>
      <c r="K126" s="213">
        <v>0</v>
      </c>
      <c r="L126" s="213">
        <v>4788.15</v>
      </c>
      <c r="M126" s="213">
        <v>26287.103</v>
      </c>
      <c r="N126" s="213">
        <v>0</v>
      </c>
      <c r="O126" s="213">
        <v>72102.537</v>
      </c>
      <c r="P126" s="116">
        <v>345963.947</v>
      </c>
      <c r="Q126" s="116">
        <v>0</v>
      </c>
      <c r="R126" s="116">
        <f t="shared" si="5"/>
        <v>14742910.229000006</v>
      </c>
      <c r="S126" s="212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</row>
    <row r="127" spans="1:19" s="231" customFormat="1" ht="12.75" hidden="1" outlineLevel="1">
      <c r="A127" s="229" t="s">
        <v>644</v>
      </c>
      <c r="B127" s="230"/>
      <c r="C127" s="230" t="s">
        <v>645</v>
      </c>
      <c r="D127" s="230" t="s">
        <v>646</v>
      </c>
      <c r="E127" s="230">
        <v>-1161477.33</v>
      </c>
      <c r="F127" s="230">
        <v>-1487</v>
      </c>
      <c r="G127" s="230"/>
      <c r="H127" s="229">
        <v>-6235240.78</v>
      </c>
      <c r="I127" s="229">
        <v>-294188.9</v>
      </c>
      <c r="J127" s="229">
        <v>-365701.69</v>
      </c>
      <c r="K127" s="229">
        <v>-115508.01</v>
      </c>
      <c r="L127" s="229">
        <v>-52141</v>
      </c>
      <c r="M127" s="229">
        <v>-446849.32</v>
      </c>
      <c r="N127" s="229">
        <v>-2236.93</v>
      </c>
      <c r="O127" s="229">
        <v>-1355515.89</v>
      </c>
      <c r="P127" s="230">
        <v>-8867382.520000001</v>
      </c>
      <c r="Q127" s="230">
        <v>0</v>
      </c>
      <c r="R127" s="230">
        <f t="shared" si="5"/>
        <v>-10030346.850000001</v>
      </c>
      <c r="S127" s="229"/>
    </row>
    <row r="128" spans="1:19" s="231" customFormat="1" ht="12.75" hidden="1" outlineLevel="1">
      <c r="A128" s="229" t="s">
        <v>647</v>
      </c>
      <c r="B128" s="230"/>
      <c r="C128" s="230" t="s">
        <v>648</v>
      </c>
      <c r="D128" s="230" t="s">
        <v>649</v>
      </c>
      <c r="E128" s="230">
        <v>-20735.25</v>
      </c>
      <c r="F128" s="230">
        <v>0</v>
      </c>
      <c r="G128" s="230"/>
      <c r="H128" s="229">
        <v>0</v>
      </c>
      <c r="I128" s="229">
        <v>0</v>
      </c>
      <c r="J128" s="229">
        <v>0</v>
      </c>
      <c r="K128" s="229">
        <v>0</v>
      </c>
      <c r="L128" s="229">
        <v>0</v>
      </c>
      <c r="M128" s="229">
        <v>0</v>
      </c>
      <c r="N128" s="229">
        <v>0</v>
      </c>
      <c r="O128" s="229">
        <v>0</v>
      </c>
      <c r="P128" s="230">
        <v>0</v>
      </c>
      <c r="Q128" s="230">
        <v>0</v>
      </c>
      <c r="R128" s="230">
        <f t="shared" si="5"/>
        <v>-20735.25</v>
      </c>
      <c r="S128" s="229"/>
    </row>
    <row r="129" spans="1:19" s="231" customFormat="1" ht="12.75" hidden="1" outlineLevel="1">
      <c r="A129" s="229" t="s">
        <v>650</v>
      </c>
      <c r="B129" s="230"/>
      <c r="C129" s="230" t="s">
        <v>651</v>
      </c>
      <c r="D129" s="230" t="s">
        <v>652</v>
      </c>
      <c r="E129" s="230">
        <v>104702.43</v>
      </c>
      <c r="F129" s="230">
        <v>0</v>
      </c>
      <c r="G129" s="230"/>
      <c r="H129" s="229">
        <v>222130.7</v>
      </c>
      <c r="I129" s="229">
        <v>0</v>
      </c>
      <c r="J129" s="229">
        <v>300000</v>
      </c>
      <c r="K129" s="229">
        <v>0</v>
      </c>
      <c r="L129" s="229">
        <v>0</v>
      </c>
      <c r="M129" s="229">
        <v>130795.12</v>
      </c>
      <c r="N129" s="229">
        <v>0</v>
      </c>
      <c r="O129" s="229">
        <v>0</v>
      </c>
      <c r="P129" s="230">
        <v>652925.82</v>
      </c>
      <c r="Q129" s="230">
        <v>0</v>
      </c>
      <c r="R129" s="230">
        <f aca="true" t="shared" si="6" ref="R129:R160">E129+F129+G129+P129+Q129</f>
        <v>757628.25</v>
      </c>
      <c r="S129" s="229"/>
    </row>
    <row r="130" spans="1:19" s="231" customFormat="1" ht="12.75" hidden="1" outlineLevel="1">
      <c r="A130" s="229" t="s">
        <v>653</v>
      </c>
      <c r="B130" s="230"/>
      <c r="C130" s="230" t="s">
        <v>654</v>
      </c>
      <c r="D130" s="230" t="s">
        <v>655</v>
      </c>
      <c r="E130" s="230">
        <v>2350</v>
      </c>
      <c r="F130" s="230">
        <v>0</v>
      </c>
      <c r="G130" s="230"/>
      <c r="H130" s="229">
        <v>0</v>
      </c>
      <c r="I130" s="229">
        <v>0</v>
      </c>
      <c r="J130" s="229">
        <v>0</v>
      </c>
      <c r="K130" s="229">
        <v>0</v>
      </c>
      <c r="L130" s="229">
        <v>0</v>
      </c>
      <c r="M130" s="229">
        <v>0</v>
      </c>
      <c r="N130" s="229">
        <v>0</v>
      </c>
      <c r="O130" s="229">
        <v>0</v>
      </c>
      <c r="P130" s="230">
        <v>0</v>
      </c>
      <c r="Q130" s="230">
        <v>0</v>
      </c>
      <c r="R130" s="230">
        <f t="shared" si="6"/>
        <v>2350</v>
      </c>
      <c r="S130" s="229"/>
    </row>
    <row r="131" spans="1:19" s="231" customFormat="1" ht="12.75" hidden="1" outlineLevel="1">
      <c r="A131" s="229" t="s">
        <v>656</v>
      </c>
      <c r="B131" s="230"/>
      <c r="C131" s="230" t="s">
        <v>657</v>
      </c>
      <c r="D131" s="230" t="s">
        <v>658</v>
      </c>
      <c r="E131" s="230">
        <v>0</v>
      </c>
      <c r="F131" s="230">
        <v>0</v>
      </c>
      <c r="G131" s="230"/>
      <c r="H131" s="229">
        <v>0</v>
      </c>
      <c r="I131" s="229">
        <v>0</v>
      </c>
      <c r="J131" s="229">
        <v>0</v>
      </c>
      <c r="K131" s="229">
        <v>0</v>
      </c>
      <c r="L131" s="229">
        <v>0</v>
      </c>
      <c r="M131" s="229">
        <v>176990.38</v>
      </c>
      <c r="N131" s="229">
        <v>0</v>
      </c>
      <c r="O131" s="229">
        <v>0</v>
      </c>
      <c r="P131" s="230">
        <v>176990.38</v>
      </c>
      <c r="Q131" s="230">
        <v>0</v>
      </c>
      <c r="R131" s="230">
        <f t="shared" si="6"/>
        <v>176990.38</v>
      </c>
      <c r="S131" s="229"/>
    </row>
    <row r="132" spans="1:19" s="231" customFormat="1" ht="12.75" hidden="1" outlineLevel="1">
      <c r="A132" s="229" t="s">
        <v>662</v>
      </c>
      <c r="B132" s="230"/>
      <c r="C132" s="230" t="s">
        <v>663</v>
      </c>
      <c r="D132" s="230" t="s">
        <v>664</v>
      </c>
      <c r="E132" s="230">
        <v>-1770</v>
      </c>
      <c r="F132" s="230">
        <v>0</v>
      </c>
      <c r="G132" s="230"/>
      <c r="H132" s="229">
        <v>0</v>
      </c>
      <c r="I132" s="229">
        <v>0</v>
      </c>
      <c r="J132" s="229">
        <v>0</v>
      </c>
      <c r="K132" s="229">
        <v>0</v>
      </c>
      <c r="L132" s="229">
        <v>0</v>
      </c>
      <c r="M132" s="229">
        <v>0</v>
      </c>
      <c r="N132" s="229">
        <v>0</v>
      </c>
      <c r="O132" s="229">
        <v>0</v>
      </c>
      <c r="P132" s="230">
        <v>0</v>
      </c>
      <c r="Q132" s="230">
        <v>0</v>
      </c>
      <c r="R132" s="230">
        <f t="shared" si="6"/>
        <v>-1770</v>
      </c>
      <c r="S132" s="229"/>
    </row>
    <row r="133" spans="1:19" s="231" customFormat="1" ht="12.75" hidden="1" outlineLevel="1">
      <c r="A133" s="229" t="s">
        <v>665</v>
      </c>
      <c r="B133" s="230"/>
      <c r="C133" s="230" t="s">
        <v>666</v>
      </c>
      <c r="D133" s="230" t="s">
        <v>667</v>
      </c>
      <c r="E133" s="230">
        <v>562806.5</v>
      </c>
      <c r="F133" s="230">
        <v>20674.52</v>
      </c>
      <c r="G133" s="230"/>
      <c r="H133" s="229">
        <v>0</v>
      </c>
      <c r="I133" s="229">
        <v>0</v>
      </c>
      <c r="J133" s="229">
        <v>0</v>
      </c>
      <c r="K133" s="229">
        <v>0</v>
      </c>
      <c r="L133" s="229">
        <v>0</v>
      </c>
      <c r="M133" s="229">
        <v>10.2</v>
      </c>
      <c r="N133" s="229">
        <v>0</v>
      </c>
      <c r="O133" s="229">
        <v>0</v>
      </c>
      <c r="P133" s="230">
        <v>10.2</v>
      </c>
      <c r="Q133" s="230">
        <v>0</v>
      </c>
      <c r="R133" s="230">
        <f t="shared" si="6"/>
        <v>583491.22</v>
      </c>
      <c r="S133" s="229"/>
    </row>
    <row r="134" spans="1:19" s="231" customFormat="1" ht="12.75" hidden="1" outlineLevel="1">
      <c r="A134" s="229" t="s">
        <v>668</v>
      </c>
      <c r="B134" s="230"/>
      <c r="C134" s="230" t="s">
        <v>669</v>
      </c>
      <c r="D134" s="230" t="s">
        <v>670</v>
      </c>
      <c r="E134" s="230">
        <v>188677.96</v>
      </c>
      <c r="F134" s="230">
        <v>9650.11</v>
      </c>
      <c r="G134" s="230"/>
      <c r="H134" s="229">
        <v>891.35</v>
      </c>
      <c r="I134" s="229">
        <v>2218.7</v>
      </c>
      <c r="J134" s="229">
        <v>0</v>
      </c>
      <c r="K134" s="229">
        <v>0</v>
      </c>
      <c r="L134" s="229">
        <v>18.67</v>
      </c>
      <c r="M134" s="229">
        <v>0</v>
      </c>
      <c r="N134" s="229">
        <v>0</v>
      </c>
      <c r="O134" s="229">
        <v>32.75</v>
      </c>
      <c r="P134" s="230">
        <v>3161.47</v>
      </c>
      <c r="Q134" s="230">
        <v>0</v>
      </c>
      <c r="R134" s="230">
        <f t="shared" si="6"/>
        <v>201489.54</v>
      </c>
      <c r="S134" s="229"/>
    </row>
    <row r="135" spans="1:19" s="231" customFormat="1" ht="12.75" hidden="1" outlineLevel="1">
      <c r="A135" s="229" t="s">
        <v>671</v>
      </c>
      <c r="B135" s="230"/>
      <c r="C135" s="230" t="s">
        <v>672</v>
      </c>
      <c r="D135" s="230" t="s">
        <v>673</v>
      </c>
      <c r="E135" s="230">
        <v>448574.92</v>
      </c>
      <c r="F135" s="230">
        <v>37204.18</v>
      </c>
      <c r="G135" s="230"/>
      <c r="H135" s="229">
        <v>1159.39</v>
      </c>
      <c r="I135" s="229">
        <v>7022.17</v>
      </c>
      <c r="J135" s="229">
        <v>0</v>
      </c>
      <c r="K135" s="229">
        <v>0</v>
      </c>
      <c r="L135" s="229">
        <v>0</v>
      </c>
      <c r="M135" s="229">
        <v>0</v>
      </c>
      <c r="N135" s="229">
        <v>0</v>
      </c>
      <c r="O135" s="229">
        <v>1131.39</v>
      </c>
      <c r="P135" s="230">
        <v>9312.95</v>
      </c>
      <c r="Q135" s="230">
        <v>0</v>
      </c>
      <c r="R135" s="230">
        <f t="shared" si="6"/>
        <v>495092.05</v>
      </c>
      <c r="S135" s="229"/>
    </row>
    <row r="136" spans="1:19" s="231" customFormat="1" ht="12.75" hidden="1" outlineLevel="1">
      <c r="A136" s="229" t="s">
        <v>674</v>
      </c>
      <c r="B136" s="230"/>
      <c r="C136" s="230" t="s">
        <v>675</v>
      </c>
      <c r="D136" s="230" t="s">
        <v>676</v>
      </c>
      <c r="E136" s="230">
        <v>175667.6</v>
      </c>
      <c r="F136" s="230">
        <v>0</v>
      </c>
      <c r="G136" s="230"/>
      <c r="H136" s="229">
        <v>0</v>
      </c>
      <c r="I136" s="229">
        <v>0</v>
      </c>
      <c r="J136" s="229">
        <v>0</v>
      </c>
      <c r="K136" s="229">
        <v>0</v>
      </c>
      <c r="L136" s="229">
        <v>0</v>
      </c>
      <c r="M136" s="229">
        <v>0</v>
      </c>
      <c r="N136" s="229">
        <v>0</v>
      </c>
      <c r="O136" s="229">
        <v>0</v>
      </c>
      <c r="P136" s="230">
        <v>0</v>
      </c>
      <c r="Q136" s="230">
        <v>0</v>
      </c>
      <c r="R136" s="230">
        <f t="shared" si="6"/>
        <v>175667.6</v>
      </c>
      <c r="S136" s="229"/>
    </row>
    <row r="137" spans="1:19" s="231" customFormat="1" ht="12.75" hidden="1" outlineLevel="1">
      <c r="A137" s="229" t="s">
        <v>677</v>
      </c>
      <c r="B137" s="230"/>
      <c r="C137" s="230" t="s">
        <v>678</v>
      </c>
      <c r="D137" s="230" t="s">
        <v>679</v>
      </c>
      <c r="E137" s="230">
        <v>14946.17</v>
      </c>
      <c r="F137" s="230">
        <v>0</v>
      </c>
      <c r="G137" s="230"/>
      <c r="H137" s="229">
        <v>0</v>
      </c>
      <c r="I137" s="229">
        <v>0</v>
      </c>
      <c r="J137" s="229">
        <v>0</v>
      </c>
      <c r="K137" s="229">
        <v>0</v>
      </c>
      <c r="L137" s="229">
        <v>0</v>
      </c>
      <c r="M137" s="229">
        <v>0</v>
      </c>
      <c r="N137" s="229">
        <v>0</v>
      </c>
      <c r="O137" s="229">
        <v>0</v>
      </c>
      <c r="P137" s="230">
        <v>0</v>
      </c>
      <c r="Q137" s="230">
        <v>0</v>
      </c>
      <c r="R137" s="230">
        <f t="shared" si="6"/>
        <v>14946.17</v>
      </c>
      <c r="S137" s="229"/>
    </row>
    <row r="138" spans="1:19" s="231" customFormat="1" ht="12.75" hidden="1" outlineLevel="1">
      <c r="A138" s="229" t="s">
        <v>680</v>
      </c>
      <c r="B138" s="230"/>
      <c r="C138" s="230" t="s">
        <v>681</v>
      </c>
      <c r="D138" s="230" t="s">
        <v>682</v>
      </c>
      <c r="E138" s="230">
        <v>2417.04</v>
      </c>
      <c r="F138" s="230">
        <v>6952.8</v>
      </c>
      <c r="G138" s="230"/>
      <c r="H138" s="229">
        <v>0</v>
      </c>
      <c r="I138" s="229">
        <v>0</v>
      </c>
      <c r="J138" s="229">
        <v>0</v>
      </c>
      <c r="K138" s="229">
        <v>0</v>
      </c>
      <c r="L138" s="229">
        <v>0</v>
      </c>
      <c r="M138" s="229">
        <v>0</v>
      </c>
      <c r="N138" s="229">
        <v>0</v>
      </c>
      <c r="O138" s="229">
        <v>0</v>
      </c>
      <c r="P138" s="230">
        <v>0</v>
      </c>
      <c r="Q138" s="230">
        <v>0</v>
      </c>
      <c r="R138" s="230">
        <f t="shared" si="6"/>
        <v>9369.84</v>
      </c>
      <c r="S138" s="229"/>
    </row>
    <row r="139" spans="1:19" s="231" customFormat="1" ht="12.75" hidden="1" outlineLevel="1">
      <c r="A139" s="229" t="s">
        <v>683</v>
      </c>
      <c r="B139" s="230"/>
      <c r="C139" s="230" t="s">
        <v>684</v>
      </c>
      <c r="D139" s="230" t="s">
        <v>685</v>
      </c>
      <c r="E139" s="230">
        <v>26372.31</v>
      </c>
      <c r="F139" s="230">
        <v>0</v>
      </c>
      <c r="G139" s="230"/>
      <c r="H139" s="229">
        <v>0</v>
      </c>
      <c r="I139" s="229">
        <v>0</v>
      </c>
      <c r="J139" s="229">
        <v>0</v>
      </c>
      <c r="K139" s="229">
        <v>0</v>
      </c>
      <c r="L139" s="229">
        <v>0</v>
      </c>
      <c r="M139" s="229">
        <v>0</v>
      </c>
      <c r="N139" s="229">
        <v>0</v>
      </c>
      <c r="O139" s="229">
        <v>0</v>
      </c>
      <c r="P139" s="230">
        <v>0</v>
      </c>
      <c r="Q139" s="230">
        <v>0</v>
      </c>
      <c r="R139" s="230">
        <f t="shared" si="6"/>
        <v>26372.31</v>
      </c>
      <c r="S139" s="229"/>
    </row>
    <row r="140" spans="1:19" s="231" customFormat="1" ht="12.75" hidden="1" outlineLevel="1">
      <c r="A140" s="229" t="s">
        <v>686</v>
      </c>
      <c r="B140" s="230"/>
      <c r="C140" s="230" t="s">
        <v>687</v>
      </c>
      <c r="D140" s="230" t="s">
        <v>688</v>
      </c>
      <c r="E140" s="230">
        <v>95730.42</v>
      </c>
      <c r="F140" s="230">
        <v>0</v>
      </c>
      <c r="G140" s="230"/>
      <c r="H140" s="229">
        <v>0</v>
      </c>
      <c r="I140" s="229">
        <v>0</v>
      </c>
      <c r="J140" s="229">
        <v>0</v>
      </c>
      <c r="K140" s="229">
        <v>0</v>
      </c>
      <c r="L140" s="229">
        <v>0</v>
      </c>
      <c r="M140" s="229">
        <v>0</v>
      </c>
      <c r="N140" s="229">
        <v>0</v>
      </c>
      <c r="O140" s="229">
        <v>0</v>
      </c>
      <c r="P140" s="230">
        <v>0</v>
      </c>
      <c r="Q140" s="230">
        <v>0</v>
      </c>
      <c r="R140" s="230">
        <f t="shared" si="6"/>
        <v>95730.42</v>
      </c>
      <c r="S140" s="229"/>
    </row>
    <row r="141" spans="1:19" s="231" customFormat="1" ht="12.75" hidden="1" outlineLevel="1">
      <c r="A141" s="229" t="s">
        <v>689</v>
      </c>
      <c r="B141" s="230"/>
      <c r="C141" s="230" t="s">
        <v>690</v>
      </c>
      <c r="D141" s="230" t="s">
        <v>691</v>
      </c>
      <c r="E141" s="230">
        <v>2475.95</v>
      </c>
      <c r="F141" s="230">
        <v>0</v>
      </c>
      <c r="G141" s="230"/>
      <c r="H141" s="229">
        <v>0</v>
      </c>
      <c r="I141" s="229">
        <v>0</v>
      </c>
      <c r="J141" s="229">
        <v>0</v>
      </c>
      <c r="K141" s="229">
        <v>0</v>
      </c>
      <c r="L141" s="229">
        <v>0</v>
      </c>
      <c r="M141" s="229">
        <v>0</v>
      </c>
      <c r="N141" s="229">
        <v>0</v>
      </c>
      <c r="O141" s="229">
        <v>0</v>
      </c>
      <c r="P141" s="230">
        <v>0</v>
      </c>
      <c r="Q141" s="230">
        <v>0</v>
      </c>
      <c r="R141" s="230">
        <f t="shared" si="6"/>
        <v>2475.95</v>
      </c>
      <c r="S141" s="229"/>
    </row>
    <row r="142" spans="1:19" s="231" customFormat="1" ht="12.75" hidden="1" outlineLevel="1">
      <c r="A142" s="229" t="s">
        <v>692</v>
      </c>
      <c r="B142" s="230"/>
      <c r="C142" s="230" t="s">
        <v>693</v>
      </c>
      <c r="D142" s="230" t="s">
        <v>694</v>
      </c>
      <c r="E142" s="230">
        <v>29815.59</v>
      </c>
      <c r="F142" s="230">
        <v>7299.88</v>
      </c>
      <c r="G142" s="230"/>
      <c r="H142" s="229">
        <v>0</v>
      </c>
      <c r="I142" s="229">
        <v>0</v>
      </c>
      <c r="J142" s="229">
        <v>0</v>
      </c>
      <c r="K142" s="229">
        <v>0</v>
      </c>
      <c r="L142" s="229">
        <v>0</v>
      </c>
      <c r="M142" s="229">
        <v>0</v>
      </c>
      <c r="N142" s="229">
        <v>0</v>
      </c>
      <c r="O142" s="229">
        <v>0</v>
      </c>
      <c r="P142" s="230">
        <v>0</v>
      </c>
      <c r="Q142" s="230">
        <v>0</v>
      </c>
      <c r="R142" s="230">
        <f t="shared" si="6"/>
        <v>37115.47</v>
      </c>
      <c r="S142" s="229"/>
    </row>
    <row r="143" spans="1:19" s="231" customFormat="1" ht="12.75" hidden="1" outlineLevel="1">
      <c r="A143" s="229" t="s">
        <v>695</v>
      </c>
      <c r="B143" s="230"/>
      <c r="C143" s="230" t="s">
        <v>696</v>
      </c>
      <c r="D143" s="230" t="s">
        <v>697</v>
      </c>
      <c r="E143" s="230">
        <v>37712.73</v>
      </c>
      <c r="F143" s="230">
        <v>2250</v>
      </c>
      <c r="G143" s="230"/>
      <c r="H143" s="229">
        <v>0</v>
      </c>
      <c r="I143" s="229">
        <v>0</v>
      </c>
      <c r="J143" s="229">
        <v>0</v>
      </c>
      <c r="K143" s="229">
        <v>0</v>
      </c>
      <c r="L143" s="229">
        <v>0</v>
      </c>
      <c r="M143" s="229">
        <v>0</v>
      </c>
      <c r="N143" s="229">
        <v>0</v>
      </c>
      <c r="O143" s="229">
        <v>0</v>
      </c>
      <c r="P143" s="230">
        <v>0</v>
      </c>
      <c r="Q143" s="230">
        <v>0</v>
      </c>
      <c r="R143" s="230">
        <f t="shared" si="6"/>
        <v>39962.73</v>
      </c>
      <c r="S143" s="229"/>
    </row>
    <row r="144" spans="1:19" s="231" customFormat="1" ht="12.75" hidden="1" outlineLevel="1">
      <c r="A144" s="229" t="s">
        <v>698</v>
      </c>
      <c r="B144" s="230"/>
      <c r="C144" s="230" t="s">
        <v>699</v>
      </c>
      <c r="D144" s="230" t="s">
        <v>700</v>
      </c>
      <c r="E144" s="230">
        <v>280440.59</v>
      </c>
      <c r="F144" s="230">
        <v>43331.3</v>
      </c>
      <c r="G144" s="230"/>
      <c r="H144" s="229">
        <v>0</v>
      </c>
      <c r="I144" s="229">
        <v>0</v>
      </c>
      <c r="J144" s="229">
        <v>0</v>
      </c>
      <c r="K144" s="229">
        <v>0</v>
      </c>
      <c r="L144" s="229">
        <v>0</v>
      </c>
      <c r="M144" s="229">
        <v>0</v>
      </c>
      <c r="N144" s="229">
        <v>0</v>
      </c>
      <c r="O144" s="229">
        <v>0</v>
      </c>
      <c r="P144" s="230">
        <v>0</v>
      </c>
      <c r="Q144" s="230">
        <v>0</v>
      </c>
      <c r="R144" s="230">
        <f t="shared" si="6"/>
        <v>323771.89</v>
      </c>
      <c r="S144" s="229"/>
    </row>
    <row r="145" spans="1:19" s="231" customFormat="1" ht="12.75" hidden="1" outlineLevel="1">
      <c r="A145" s="229" t="s">
        <v>701</v>
      </c>
      <c r="B145" s="230"/>
      <c r="C145" s="230" t="s">
        <v>702</v>
      </c>
      <c r="D145" s="230" t="s">
        <v>703</v>
      </c>
      <c r="E145" s="230">
        <v>28433.86</v>
      </c>
      <c r="F145" s="230">
        <v>610</v>
      </c>
      <c r="G145" s="230"/>
      <c r="H145" s="229">
        <v>0</v>
      </c>
      <c r="I145" s="229">
        <v>0</v>
      </c>
      <c r="J145" s="229">
        <v>0</v>
      </c>
      <c r="K145" s="229">
        <v>0</v>
      </c>
      <c r="L145" s="229">
        <v>0</v>
      </c>
      <c r="M145" s="229">
        <v>0</v>
      </c>
      <c r="N145" s="229">
        <v>0</v>
      </c>
      <c r="O145" s="229">
        <v>0</v>
      </c>
      <c r="P145" s="230">
        <v>0</v>
      </c>
      <c r="Q145" s="230">
        <v>0</v>
      </c>
      <c r="R145" s="230">
        <f t="shared" si="6"/>
        <v>29043.86</v>
      </c>
      <c r="S145" s="229"/>
    </row>
    <row r="146" spans="1:19" s="231" customFormat="1" ht="12.75" hidden="1" outlineLevel="1">
      <c r="A146" s="229" t="s">
        <v>704</v>
      </c>
      <c r="B146" s="230"/>
      <c r="C146" s="230" t="s">
        <v>705</v>
      </c>
      <c r="D146" s="230" t="s">
        <v>706</v>
      </c>
      <c r="E146" s="230">
        <v>1497.21</v>
      </c>
      <c r="F146" s="230">
        <v>0</v>
      </c>
      <c r="G146" s="230"/>
      <c r="H146" s="229">
        <v>0</v>
      </c>
      <c r="I146" s="229">
        <v>0</v>
      </c>
      <c r="J146" s="229">
        <v>0</v>
      </c>
      <c r="K146" s="229">
        <v>0</v>
      </c>
      <c r="L146" s="229">
        <v>0</v>
      </c>
      <c r="M146" s="229">
        <v>0</v>
      </c>
      <c r="N146" s="229">
        <v>0</v>
      </c>
      <c r="O146" s="229">
        <v>0</v>
      </c>
      <c r="P146" s="230">
        <v>0</v>
      </c>
      <c r="Q146" s="230">
        <v>0</v>
      </c>
      <c r="R146" s="230">
        <f t="shared" si="6"/>
        <v>1497.21</v>
      </c>
      <c r="S146" s="229"/>
    </row>
    <row r="147" spans="1:19" s="231" customFormat="1" ht="12.75" hidden="1" outlineLevel="1">
      <c r="A147" s="229" t="s">
        <v>707</v>
      </c>
      <c r="B147" s="230"/>
      <c r="C147" s="230" t="s">
        <v>708</v>
      </c>
      <c r="D147" s="230" t="s">
        <v>709</v>
      </c>
      <c r="E147" s="230">
        <v>84055.15</v>
      </c>
      <c r="F147" s="230">
        <v>0</v>
      </c>
      <c r="G147" s="230"/>
      <c r="H147" s="229">
        <v>0</v>
      </c>
      <c r="I147" s="229">
        <v>369.5</v>
      </c>
      <c r="J147" s="229">
        <v>0</v>
      </c>
      <c r="K147" s="229">
        <v>0</v>
      </c>
      <c r="L147" s="229">
        <v>0</v>
      </c>
      <c r="M147" s="229">
        <v>0</v>
      </c>
      <c r="N147" s="229">
        <v>0</v>
      </c>
      <c r="O147" s="229">
        <v>1989.92</v>
      </c>
      <c r="P147" s="230">
        <v>2359.42</v>
      </c>
      <c r="Q147" s="230">
        <v>0</v>
      </c>
      <c r="R147" s="230">
        <f t="shared" si="6"/>
        <v>86414.56999999999</v>
      </c>
      <c r="S147" s="229"/>
    </row>
    <row r="148" spans="1:19" s="231" customFormat="1" ht="12.75" hidden="1" outlineLevel="1">
      <c r="A148" s="229" t="s">
        <v>710</v>
      </c>
      <c r="B148" s="230"/>
      <c r="C148" s="230" t="s">
        <v>711</v>
      </c>
      <c r="D148" s="230" t="s">
        <v>712</v>
      </c>
      <c r="E148" s="230">
        <v>7579.6</v>
      </c>
      <c r="F148" s="230">
        <v>0</v>
      </c>
      <c r="G148" s="230"/>
      <c r="H148" s="229">
        <v>0</v>
      </c>
      <c r="I148" s="229">
        <v>0</v>
      </c>
      <c r="J148" s="229">
        <v>0</v>
      </c>
      <c r="K148" s="229">
        <v>0</v>
      </c>
      <c r="L148" s="229">
        <v>0</v>
      </c>
      <c r="M148" s="229">
        <v>0</v>
      </c>
      <c r="N148" s="229">
        <v>0</v>
      </c>
      <c r="O148" s="229">
        <v>0</v>
      </c>
      <c r="P148" s="230">
        <v>0</v>
      </c>
      <c r="Q148" s="230">
        <v>0</v>
      </c>
      <c r="R148" s="230">
        <f t="shared" si="6"/>
        <v>7579.6</v>
      </c>
      <c r="S148" s="229"/>
    </row>
    <row r="149" spans="1:19" s="231" customFormat="1" ht="12.75" hidden="1" outlineLevel="1">
      <c r="A149" s="229" t="s">
        <v>713</v>
      </c>
      <c r="B149" s="230"/>
      <c r="C149" s="230" t="s">
        <v>714</v>
      </c>
      <c r="D149" s="230" t="s">
        <v>715</v>
      </c>
      <c r="E149" s="230">
        <v>4343.9</v>
      </c>
      <c r="F149" s="230">
        <v>0</v>
      </c>
      <c r="G149" s="230"/>
      <c r="H149" s="229">
        <v>0</v>
      </c>
      <c r="I149" s="229">
        <v>0</v>
      </c>
      <c r="J149" s="229">
        <v>0</v>
      </c>
      <c r="K149" s="229">
        <v>0</v>
      </c>
      <c r="L149" s="229">
        <v>0</v>
      </c>
      <c r="M149" s="229">
        <v>0</v>
      </c>
      <c r="N149" s="229">
        <v>0</v>
      </c>
      <c r="O149" s="229">
        <v>0</v>
      </c>
      <c r="P149" s="230">
        <v>0</v>
      </c>
      <c r="Q149" s="230">
        <v>0</v>
      </c>
      <c r="R149" s="230">
        <f t="shared" si="6"/>
        <v>4343.9</v>
      </c>
      <c r="S149" s="229"/>
    </row>
    <row r="150" spans="1:19" s="231" customFormat="1" ht="12.75" hidden="1" outlineLevel="1">
      <c r="A150" s="229" t="s">
        <v>716</v>
      </c>
      <c r="B150" s="230"/>
      <c r="C150" s="230" t="s">
        <v>717</v>
      </c>
      <c r="D150" s="230" t="s">
        <v>718</v>
      </c>
      <c r="E150" s="230">
        <v>3479.97</v>
      </c>
      <c r="F150" s="230">
        <v>0</v>
      </c>
      <c r="G150" s="230"/>
      <c r="H150" s="229">
        <v>0</v>
      </c>
      <c r="I150" s="229">
        <v>0</v>
      </c>
      <c r="J150" s="229">
        <v>0</v>
      </c>
      <c r="K150" s="229">
        <v>0</v>
      </c>
      <c r="L150" s="229">
        <v>0</v>
      </c>
      <c r="M150" s="229">
        <v>0</v>
      </c>
      <c r="N150" s="229">
        <v>0</v>
      </c>
      <c r="O150" s="229">
        <v>0</v>
      </c>
      <c r="P150" s="230">
        <v>0</v>
      </c>
      <c r="Q150" s="230">
        <v>0</v>
      </c>
      <c r="R150" s="230">
        <f t="shared" si="6"/>
        <v>3479.97</v>
      </c>
      <c r="S150" s="229"/>
    </row>
    <row r="151" spans="1:19" s="231" customFormat="1" ht="12.75" hidden="1" outlineLevel="1">
      <c r="A151" s="229" t="s">
        <v>719</v>
      </c>
      <c r="B151" s="230"/>
      <c r="C151" s="230" t="s">
        <v>720</v>
      </c>
      <c r="D151" s="230" t="s">
        <v>721</v>
      </c>
      <c r="E151" s="230">
        <v>43437.34</v>
      </c>
      <c r="F151" s="230">
        <v>0</v>
      </c>
      <c r="G151" s="230"/>
      <c r="H151" s="229">
        <v>0</v>
      </c>
      <c r="I151" s="229">
        <v>0</v>
      </c>
      <c r="J151" s="229">
        <v>0</v>
      </c>
      <c r="K151" s="229">
        <v>0</v>
      </c>
      <c r="L151" s="229">
        <v>0</v>
      </c>
      <c r="M151" s="229">
        <v>0</v>
      </c>
      <c r="N151" s="229">
        <v>0</v>
      </c>
      <c r="O151" s="229">
        <v>0</v>
      </c>
      <c r="P151" s="230">
        <v>0</v>
      </c>
      <c r="Q151" s="230">
        <v>0</v>
      </c>
      <c r="R151" s="230">
        <f t="shared" si="6"/>
        <v>43437.34</v>
      </c>
      <c r="S151" s="229"/>
    </row>
    <row r="152" spans="1:19" s="231" customFormat="1" ht="12.75" hidden="1" outlineLevel="1">
      <c r="A152" s="229" t="s">
        <v>722</v>
      </c>
      <c r="B152" s="230"/>
      <c r="C152" s="230" t="s">
        <v>723</v>
      </c>
      <c r="D152" s="230" t="s">
        <v>724</v>
      </c>
      <c r="E152" s="230">
        <v>1479.79</v>
      </c>
      <c r="F152" s="230">
        <v>0</v>
      </c>
      <c r="G152" s="230"/>
      <c r="H152" s="229">
        <v>0</v>
      </c>
      <c r="I152" s="229">
        <v>0</v>
      </c>
      <c r="J152" s="229">
        <v>0</v>
      </c>
      <c r="K152" s="229">
        <v>0</v>
      </c>
      <c r="L152" s="229">
        <v>0</v>
      </c>
      <c r="M152" s="229">
        <v>0</v>
      </c>
      <c r="N152" s="229">
        <v>0</v>
      </c>
      <c r="O152" s="229">
        <v>0</v>
      </c>
      <c r="P152" s="230">
        <v>0</v>
      </c>
      <c r="Q152" s="230">
        <v>0</v>
      </c>
      <c r="R152" s="230">
        <f t="shared" si="6"/>
        <v>1479.79</v>
      </c>
      <c r="S152" s="229"/>
    </row>
    <row r="153" spans="1:19" s="231" customFormat="1" ht="12.75" hidden="1" outlineLevel="1">
      <c r="A153" s="229" t="s">
        <v>725</v>
      </c>
      <c r="B153" s="230"/>
      <c r="C153" s="230" t="s">
        <v>726</v>
      </c>
      <c r="D153" s="230" t="s">
        <v>1573</v>
      </c>
      <c r="E153" s="230">
        <v>173737.12</v>
      </c>
      <c r="F153" s="230">
        <v>853.56</v>
      </c>
      <c r="G153" s="230"/>
      <c r="H153" s="229">
        <v>0</v>
      </c>
      <c r="I153" s="229">
        <v>0</v>
      </c>
      <c r="J153" s="229">
        <v>253.77</v>
      </c>
      <c r="K153" s="229">
        <v>0</v>
      </c>
      <c r="L153" s="229">
        <v>0</v>
      </c>
      <c r="M153" s="229">
        <v>0</v>
      </c>
      <c r="N153" s="229">
        <v>0</v>
      </c>
      <c r="O153" s="229">
        <v>8.42</v>
      </c>
      <c r="P153" s="230">
        <v>262.19</v>
      </c>
      <c r="Q153" s="230">
        <v>0</v>
      </c>
      <c r="R153" s="230">
        <f t="shared" si="6"/>
        <v>174852.87</v>
      </c>
      <c r="S153" s="229"/>
    </row>
    <row r="154" spans="1:19" s="231" customFormat="1" ht="12.75" hidden="1" outlineLevel="1">
      <c r="A154" s="229" t="s">
        <v>1574</v>
      </c>
      <c r="B154" s="230"/>
      <c r="C154" s="230" t="s">
        <v>1575</v>
      </c>
      <c r="D154" s="230" t="s">
        <v>1576</v>
      </c>
      <c r="E154" s="230">
        <v>116414.6</v>
      </c>
      <c r="F154" s="230">
        <v>32280.67</v>
      </c>
      <c r="G154" s="230"/>
      <c r="H154" s="229">
        <v>0.93</v>
      </c>
      <c r="I154" s="229">
        <v>3.84</v>
      </c>
      <c r="J154" s="229">
        <v>0</v>
      </c>
      <c r="K154" s="229">
        <v>0</v>
      </c>
      <c r="L154" s="229">
        <v>0</v>
      </c>
      <c r="M154" s="229">
        <v>208.11</v>
      </c>
      <c r="N154" s="229">
        <v>0</v>
      </c>
      <c r="O154" s="229">
        <v>18.14</v>
      </c>
      <c r="P154" s="230">
        <v>231.02</v>
      </c>
      <c r="Q154" s="230">
        <v>0</v>
      </c>
      <c r="R154" s="230">
        <f t="shared" si="6"/>
        <v>148926.29</v>
      </c>
      <c r="S154" s="229"/>
    </row>
    <row r="155" spans="1:19" s="231" customFormat="1" ht="12.75" hidden="1" outlineLevel="1">
      <c r="A155" s="229" t="s">
        <v>1577</v>
      </c>
      <c r="B155" s="230"/>
      <c r="C155" s="230" t="s">
        <v>1578</v>
      </c>
      <c r="D155" s="230" t="s">
        <v>1579</v>
      </c>
      <c r="E155" s="230">
        <v>5271.86</v>
      </c>
      <c r="F155" s="230">
        <v>8894.69</v>
      </c>
      <c r="G155" s="230"/>
      <c r="H155" s="229">
        <v>0</v>
      </c>
      <c r="I155" s="229">
        <v>0</v>
      </c>
      <c r="J155" s="229">
        <v>0</v>
      </c>
      <c r="K155" s="229">
        <v>0</v>
      </c>
      <c r="L155" s="229">
        <v>0</v>
      </c>
      <c r="M155" s="229">
        <v>0</v>
      </c>
      <c r="N155" s="229">
        <v>0</v>
      </c>
      <c r="O155" s="229">
        <v>0</v>
      </c>
      <c r="P155" s="230">
        <v>0</v>
      </c>
      <c r="Q155" s="230">
        <v>0</v>
      </c>
      <c r="R155" s="230">
        <f t="shared" si="6"/>
        <v>14166.55</v>
      </c>
      <c r="S155" s="229"/>
    </row>
    <row r="156" spans="1:19" s="231" customFormat="1" ht="12.75" hidden="1" outlineLevel="1">
      <c r="A156" s="229" t="s">
        <v>1580</v>
      </c>
      <c r="B156" s="230"/>
      <c r="C156" s="230" t="s">
        <v>1581</v>
      </c>
      <c r="D156" s="230" t="s">
        <v>1582</v>
      </c>
      <c r="E156" s="230">
        <v>39976.47</v>
      </c>
      <c r="F156" s="230">
        <v>2464.67</v>
      </c>
      <c r="G156" s="230"/>
      <c r="H156" s="229">
        <v>482.21</v>
      </c>
      <c r="I156" s="229">
        <v>10.99</v>
      </c>
      <c r="J156" s="229">
        <v>0</v>
      </c>
      <c r="K156" s="229">
        <v>0</v>
      </c>
      <c r="L156" s="229">
        <v>0</v>
      </c>
      <c r="M156" s="229">
        <v>0</v>
      </c>
      <c r="N156" s="229">
        <v>0</v>
      </c>
      <c r="O156" s="229">
        <v>0</v>
      </c>
      <c r="P156" s="230">
        <v>493.2</v>
      </c>
      <c r="Q156" s="230">
        <v>0</v>
      </c>
      <c r="R156" s="230">
        <f t="shared" si="6"/>
        <v>42934.34</v>
      </c>
      <c r="S156" s="229"/>
    </row>
    <row r="157" spans="1:19" s="231" customFormat="1" ht="12.75" hidden="1" outlineLevel="1">
      <c r="A157" s="229" t="s">
        <v>1583</v>
      </c>
      <c r="B157" s="230"/>
      <c r="C157" s="230" t="s">
        <v>1584</v>
      </c>
      <c r="D157" s="230" t="s">
        <v>1585</v>
      </c>
      <c r="E157" s="230">
        <v>3723.18</v>
      </c>
      <c r="F157" s="230">
        <v>0</v>
      </c>
      <c r="G157" s="230"/>
      <c r="H157" s="229">
        <v>1150.06</v>
      </c>
      <c r="I157" s="229">
        <v>25.41</v>
      </c>
      <c r="J157" s="229">
        <v>0</v>
      </c>
      <c r="K157" s="229">
        <v>0</v>
      </c>
      <c r="L157" s="229">
        <v>0</v>
      </c>
      <c r="M157" s="229">
        <v>0</v>
      </c>
      <c r="N157" s="229">
        <v>0</v>
      </c>
      <c r="O157" s="229">
        <v>885.65</v>
      </c>
      <c r="P157" s="230">
        <v>2061.12</v>
      </c>
      <c r="Q157" s="230">
        <v>0</v>
      </c>
      <c r="R157" s="230">
        <f t="shared" si="6"/>
        <v>5784.299999999999</v>
      </c>
      <c r="S157" s="229"/>
    </row>
    <row r="158" spans="1:19" s="231" customFormat="1" ht="12.75" hidden="1" outlineLevel="1">
      <c r="A158" s="229" t="s">
        <v>1586</v>
      </c>
      <c r="B158" s="230"/>
      <c r="C158" s="230" t="s">
        <v>1587</v>
      </c>
      <c r="D158" s="230" t="s">
        <v>1588</v>
      </c>
      <c r="E158" s="230">
        <v>275</v>
      </c>
      <c r="F158" s="230">
        <v>0</v>
      </c>
      <c r="G158" s="230"/>
      <c r="H158" s="229">
        <v>0</v>
      </c>
      <c r="I158" s="229">
        <v>0</v>
      </c>
      <c r="J158" s="229">
        <v>0</v>
      </c>
      <c r="K158" s="229">
        <v>0</v>
      </c>
      <c r="L158" s="229">
        <v>0</v>
      </c>
      <c r="M158" s="229">
        <v>0</v>
      </c>
      <c r="N158" s="229">
        <v>0</v>
      </c>
      <c r="O158" s="229">
        <v>0</v>
      </c>
      <c r="P158" s="230">
        <v>0</v>
      </c>
      <c r="Q158" s="230">
        <v>0</v>
      </c>
      <c r="R158" s="230">
        <f t="shared" si="6"/>
        <v>275</v>
      </c>
      <c r="S158" s="229"/>
    </row>
    <row r="159" spans="1:19" s="231" customFormat="1" ht="12.75" hidden="1" outlineLevel="1">
      <c r="A159" s="229" t="s">
        <v>1589</v>
      </c>
      <c r="B159" s="230"/>
      <c r="C159" s="230" t="s">
        <v>1590</v>
      </c>
      <c r="D159" s="230" t="s">
        <v>1591</v>
      </c>
      <c r="E159" s="230">
        <v>437074.59</v>
      </c>
      <c r="F159" s="230">
        <v>4303.93</v>
      </c>
      <c r="G159" s="230"/>
      <c r="H159" s="229">
        <v>0</v>
      </c>
      <c r="I159" s="229">
        <v>3321.95</v>
      </c>
      <c r="J159" s="229">
        <v>0</v>
      </c>
      <c r="K159" s="229">
        <v>0</v>
      </c>
      <c r="L159" s="229">
        <v>0</v>
      </c>
      <c r="M159" s="229">
        <v>1123.58</v>
      </c>
      <c r="N159" s="229">
        <v>0</v>
      </c>
      <c r="O159" s="229">
        <v>305244.71</v>
      </c>
      <c r="P159" s="230">
        <v>309690.24</v>
      </c>
      <c r="Q159" s="230">
        <v>0</v>
      </c>
      <c r="R159" s="230">
        <f t="shared" si="6"/>
        <v>751068.76</v>
      </c>
      <c r="S159" s="229"/>
    </row>
    <row r="160" spans="1:19" s="231" customFormat="1" ht="12.75" hidden="1" outlineLevel="1">
      <c r="A160" s="229" t="s">
        <v>1592</v>
      </c>
      <c r="B160" s="230"/>
      <c r="C160" s="230" t="s">
        <v>1593</v>
      </c>
      <c r="D160" s="230" t="s">
        <v>1594</v>
      </c>
      <c r="E160" s="230">
        <v>178.75</v>
      </c>
      <c r="F160" s="230">
        <v>3299.8</v>
      </c>
      <c r="G160" s="230"/>
      <c r="H160" s="229">
        <v>0</v>
      </c>
      <c r="I160" s="229">
        <v>0</v>
      </c>
      <c r="J160" s="229">
        <v>0</v>
      </c>
      <c r="K160" s="229">
        <v>0</v>
      </c>
      <c r="L160" s="229">
        <v>0</v>
      </c>
      <c r="M160" s="229">
        <v>0</v>
      </c>
      <c r="N160" s="229">
        <v>0</v>
      </c>
      <c r="O160" s="229">
        <v>30512.84</v>
      </c>
      <c r="P160" s="230">
        <v>30512.84</v>
      </c>
      <c r="Q160" s="230">
        <v>0</v>
      </c>
      <c r="R160" s="230">
        <f t="shared" si="6"/>
        <v>33991.39</v>
      </c>
      <c r="S160" s="229"/>
    </row>
    <row r="161" spans="1:19" s="231" customFormat="1" ht="12.75" hidden="1" outlineLevel="1">
      <c r="A161" s="229" t="s">
        <v>1595</v>
      </c>
      <c r="B161" s="230"/>
      <c r="C161" s="230" t="s">
        <v>1596</v>
      </c>
      <c r="D161" s="230" t="s">
        <v>1597</v>
      </c>
      <c r="E161" s="230">
        <v>-61.19</v>
      </c>
      <c r="F161" s="230">
        <v>0</v>
      </c>
      <c r="G161" s="230"/>
      <c r="H161" s="229">
        <v>2037.54</v>
      </c>
      <c r="I161" s="229">
        <v>0</v>
      </c>
      <c r="J161" s="229">
        <v>0</v>
      </c>
      <c r="K161" s="229">
        <v>0</v>
      </c>
      <c r="L161" s="229">
        <v>0</v>
      </c>
      <c r="M161" s="229">
        <v>0</v>
      </c>
      <c r="N161" s="229">
        <v>0</v>
      </c>
      <c r="O161" s="229">
        <v>0</v>
      </c>
      <c r="P161" s="230">
        <v>2037.54</v>
      </c>
      <c r="Q161" s="230">
        <v>0</v>
      </c>
      <c r="R161" s="230">
        <f aca="true" t="shared" si="7" ref="R161:R192">E161+F161+G161+P161+Q161</f>
        <v>1976.35</v>
      </c>
      <c r="S161" s="229"/>
    </row>
    <row r="162" spans="1:19" s="231" customFormat="1" ht="12.75" hidden="1" outlineLevel="1">
      <c r="A162" s="229" t="s">
        <v>1598</v>
      </c>
      <c r="B162" s="230"/>
      <c r="C162" s="230" t="s">
        <v>1599</v>
      </c>
      <c r="D162" s="230" t="s">
        <v>1600</v>
      </c>
      <c r="E162" s="230">
        <v>7576.7</v>
      </c>
      <c r="F162" s="230">
        <v>22</v>
      </c>
      <c r="G162" s="230"/>
      <c r="H162" s="229">
        <v>0</v>
      </c>
      <c r="I162" s="229">
        <v>0</v>
      </c>
      <c r="J162" s="229">
        <v>0</v>
      </c>
      <c r="K162" s="229">
        <v>0</v>
      </c>
      <c r="L162" s="229">
        <v>0</v>
      </c>
      <c r="M162" s="229">
        <v>0</v>
      </c>
      <c r="N162" s="229">
        <v>0</v>
      </c>
      <c r="O162" s="229">
        <v>0</v>
      </c>
      <c r="P162" s="230">
        <v>0</v>
      </c>
      <c r="Q162" s="230">
        <v>0</v>
      </c>
      <c r="R162" s="230">
        <f t="shared" si="7"/>
        <v>7598.7</v>
      </c>
      <c r="S162" s="229"/>
    </row>
    <row r="163" spans="1:19" s="231" customFormat="1" ht="12.75" hidden="1" outlineLevel="1">
      <c r="A163" s="229" t="s">
        <v>1601</v>
      </c>
      <c r="B163" s="230"/>
      <c r="C163" s="230" t="s">
        <v>1602</v>
      </c>
      <c r="D163" s="230" t="s">
        <v>1603</v>
      </c>
      <c r="E163" s="230">
        <v>68534.29</v>
      </c>
      <c r="F163" s="230">
        <v>0</v>
      </c>
      <c r="G163" s="230"/>
      <c r="H163" s="229">
        <v>1802.13</v>
      </c>
      <c r="I163" s="229">
        <v>2071.32</v>
      </c>
      <c r="J163" s="229">
        <v>0</v>
      </c>
      <c r="K163" s="229">
        <v>0</v>
      </c>
      <c r="L163" s="229">
        <v>0</v>
      </c>
      <c r="M163" s="229">
        <v>0</v>
      </c>
      <c r="N163" s="229">
        <v>0</v>
      </c>
      <c r="O163" s="229">
        <v>3656.98</v>
      </c>
      <c r="P163" s="230">
        <v>7530.43</v>
      </c>
      <c r="Q163" s="230">
        <v>0</v>
      </c>
      <c r="R163" s="230">
        <f t="shared" si="7"/>
        <v>76064.72</v>
      </c>
      <c r="S163" s="229"/>
    </row>
    <row r="164" spans="1:19" s="231" customFormat="1" ht="12.75" hidden="1" outlineLevel="1">
      <c r="A164" s="229" t="s">
        <v>1604</v>
      </c>
      <c r="B164" s="230"/>
      <c r="C164" s="230" t="s">
        <v>1605</v>
      </c>
      <c r="D164" s="230" t="s">
        <v>1606</v>
      </c>
      <c r="E164" s="230">
        <v>4378.31</v>
      </c>
      <c r="F164" s="230">
        <v>0</v>
      </c>
      <c r="G164" s="230"/>
      <c r="H164" s="229">
        <v>0</v>
      </c>
      <c r="I164" s="229">
        <v>0</v>
      </c>
      <c r="J164" s="229">
        <v>0</v>
      </c>
      <c r="K164" s="229">
        <v>0</v>
      </c>
      <c r="L164" s="229">
        <v>0</v>
      </c>
      <c r="M164" s="229">
        <v>0</v>
      </c>
      <c r="N164" s="229">
        <v>0</v>
      </c>
      <c r="O164" s="229">
        <v>4122.16</v>
      </c>
      <c r="P164" s="230">
        <v>4122.16</v>
      </c>
      <c r="Q164" s="230">
        <v>0</v>
      </c>
      <c r="R164" s="230">
        <f t="shared" si="7"/>
        <v>8500.470000000001</v>
      </c>
      <c r="S164" s="229"/>
    </row>
    <row r="165" spans="1:19" s="231" customFormat="1" ht="12.75" hidden="1" outlineLevel="1">
      <c r="A165" s="229" t="s">
        <v>1607</v>
      </c>
      <c r="B165" s="230"/>
      <c r="C165" s="230" t="s">
        <v>1608</v>
      </c>
      <c r="D165" s="230" t="s">
        <v>1609</v>
      </c>
      <c r="E165" s="230">
        <v>130194.36</v>
      </c>
      <c r="F165" s="230">
        <v>548.27</v>
      </c>
      <c r="G165" s="230"/>
      <c r="H165" s="229">
        <v>0</v>
      </c>
      <c r="I165" s="229">
        <v>313.06</v>
      </c>
      <c r="J165" s="229">
        <v>0</v>
      </c>
      <c r="K165" s="229">
        <v>0</v>
      </c>
      <c r="L165" s="229">
        <v>0</v>
      </c>
      <c r="M165" s="229">
        <v>197.67</v>
      </c>
      <c r="N165" s="229">
        <v>0</v>
      </c>
      <c r="O165" s="229">
        <v>108523.35</v>
      </c>
      <c r="P165" s="230">
        <v>109034.08</v>
      </c>
      <c r="Q165" s="230">
        <v>0</v>
      </c>
      <c r="R165" s="230">
        <f t="shared" si="7"/>
        <v>239776.71000000002</v>
      </c>
      <c r="S165" s="229"/>
    </row>
    <row r="166" spans="1:19" s="231" customFormat="1" ht="12.75" hidden="1" outlineLevel="1">
      <c r="A166" s="229" t="s">
        <v>1613</v>
      </c>
      <c r="B166" s="230"/>
      <c r="C166" s="230" t="s">
        <v>1614</v>
      </c>
      <c r="D166" s="230" t="s">
        <v>1615</v>
      </c>
      <c r="E166" s="230">
        <v>115301.62</v>
      </c>
      <c r="F166" s="230">
        <v>5923.3</v>
      </c>
      <c r="G166" s="230"/>
      <c r="H166" s="229">
        <v>0</v>
      </c>
      <c r="I166" s="229">
        <v>0</v>
      </c>
      <c r="J166" s="229">
        <v>0</v>
      </c>
      <c r="K166" s="229">
        <v>0</v>
      </c>
      <c r="L166" s="229">
        <v>0</v>
      </c>
      <c r="M166" s="229">
        <v>0</v>
      </c>
      <c r="N166" s="229">
        <v>0</v>
      </c>
      <c r="O166" s="229">
        <v>0</v>
      </c>
      <c r="P166" s="230">
        <v>0</v>
      </c>
      <c r="Q166" s="230">
        <v>0</v>
      </c>
      <c r="R166" s="230">
        <f t="shared" si="7"/>
        <v>121224.92</v>
      </c>
      <c r="S166" s="229"/>
    </row>
    <row r="167" spans="1:19" s="231" customFormat="1" ht="12.75" hidden="1" outlineLevel="1">
      <c r="A167" s="229" t="s">
        <v>1616</v>
      </c>
      <c r="B167" s="230"/>
      <c r="C167" s="230" t="s">
        <v>1617</v>
      </c>
      <c r="D167" s="230" t="s">
        <v>1618</v>
      </c>
      <c r="E167" s="230">
        <v>33270.29</v>
      </c>
      <c r="F167" s="230">
        <v>5867.14</v>
      </c>
      <c r="G167" s="230"/>
      <c r="H167" s="229">
        <v>13.16</v>
      </c>
      <c r="I167" s="229">
        <v>0</v>
      </c>
      <c r="J167" s="229">
        <v>0</v>
      </c>
      <c r="K167" s="229">
        <v>0</v>
      </c>
      <c r="L167" s="229">
        <v>0</v>
      </c>
      <c r="M167" s="229">
        <v>0</v>
      </c>
      <c r="N167" s="229">
        <v>0</v>
      </c>
      <c r="O167" s="229">
        <v>0</v>
      </c>
      <c r="P167" s="230">
        <v>13.16</v>
      </c>
      <c r="Q167" s="230">
        <v>0</v>
      </c>
      <c r="R167" s="230">
        <f t="shared" si="7"/>
        <v>39150.590000000004</v>
      </c>
      <c r="S167" s="229"/>
    </row>
    <row r="168" spans="1:19" s="231" customFormat="1" ht="12.75" hidden="1" outlineLevel="1">
      <c r="A168" s="229" t="s">
        <v>1619</v>
      </c>
      <c r="B168" s="230"/>
      <c r="C168" s="230" t="s">
        <v>1620</v>
      </c>
      <c r="D168" s="230" t="s">
        <v>1621</v>
      </c>
      <c r="E168" s="230">
        <v>4578.68</v>
      </c>
      <c r="F168" s="230">
        <v>0</v>
      </c>
      <c r="G168" s="230"/>
      <c r="H168" s="229">
        <v>0</v>
      </c>
      <c r="I168" s="229">
        <v>0</v>
      </c>
      <c r="J168" s="229">
        <v>0</v>
      </c>
      <c r="K168" s="229">
        <v>0</v>
      </c>
      <c r="L168" s="229">
        <v>0</v>
      </c>
      <c r="M168" s="229">
        <v>0</v>
      </c>
      <c r="N168" s="229">
        <v>0</v>
      </c>
      <c r="O168" s="229">
        <v>0</v>
      </c>
      <c r="P168" s="230">
        <v>0</v>
      </c>
      <c r="Q168" s="230">
        <v>0</v>
      </c>
      <c r="R168" s="230">
        <f t="shared" si="7"/>
        <v>4578.68</v>
      </c>
      <c r="S168" s="229"/>
    </row>
    <row r="169" spans="1:19" s="231" customFormat="1" ht="12.75" hidden="1" outlineLevel="1">
      <c r="A169" s="229" t="s">
        <v>1622</v>
      </c>
      <c r="B169" s="230"/>
      <c r="C169" s="230" t="s">
        <v>1623</v>
      </c>
      <c r="D169" s="230" t="s">
        <v>1624</v>
      </c>
      <c r="E169" s="230">
        <v>28377.83</v>
      </c>
      <c r="F169" s="230">
        <v>97.14</v>
      </c>
      <c r="G169" s="230"/>
      <c r="H169" s="229">
        <v>0</v>
      </c>
      <c r="I169" s="229">
        <v>177.65</v>
      </c>
      <c r="J169" s="229">
        <v>0</v>
      </c>
      <c r="K169" s="229">
        <v>0</v>
      </c>
      <c r="L169" s="229">
        <v>0</v>
      </c>
      <c r="M169" s="229">
        <v>0</v>
      </c>
      <c r="N169" s="229">
        <v>0</v>
      </c>
      <c r="O169" s="229">
        <v>25.6</v>
      </c>
      <c r="P169" s="230">
        <v>203.25</v>
      </c>
      <c r="Q169" s="230">
        <v>0</v>
      </c>
      <c r="R169" s="230">
        <f t="shared" si="7"/>
        <v>28678.22</v>
      </c>
      <c r="S169" s="229"/>
    </row>
    <row r="170" spans="1:19" s="231" customFormat="1" ht="12.75" hidden="1" outlineLevel="1">
      <c r="A170" s="229" t="s">
        <v>1625</v>
      </c>
      <c r="B170" s="230"/>
      <c r="C170" s="230" t="s">
        <v>1626</v>
      </c>
      <c r="D170" s="230" t="s">
        <v>1627</v>
      </c>
      <c r="E170" s="230">
        <v>11566.69</v>
      </c>
      <c r="F170" s="230">
        <v>3011.36</v>
      </c>
      <c r="G170" s="230"/>
      <c r="H170" s="229">
        <v>0</v>
      </c>
      <c r="I170" s="229">
        <v>0</v>
      </c>
      <c r="J170" s="229">
        <v>0</v>
      </c>
      <c r="K170" s="229">
        <v>0</v>
      </c>
      <c r="L170" s="229">
        <v>0</v>
      </c>
      <c r="M170" s="229">
        <v>0</v>
      </c>
      <c r="N170" s="229">
        <v>0</v>
      </c>
      <c r="O170" s="229">
        <v>0</v>
      </c>
      <c r="P170" s="230">
        <v>0</v>
      </c>
      <c r="Q170" s="230">
        <v>0</v>
      </c>
      <c r="R170" s="230">
        <f t="shared" si="7"/>
        <v>14578.050000000001</v>
      </c>
      <c r="S170" s="229"/>
    </row>
    <row r="171" spans="1:19" s="231" customFormat="1" ht="12.75" hidden="1" outlineLevel="1">
      <c r="A171" s="229" t="s">
        <v>1628</v>
      </c>
      <c r="B171" s="230"/>
      <c r="C171" s="230" t="s">
        <v>1629</v>
      </c>
      <c r="D171" s="230" t="s">
        <v>1630</v>
      </c>
      <c r="E171" s="230">
        <v>654570.19</v>
      </c>
      <c r="F171" s="230">
        <v>1047.2</v>
      </c>
      <c r="G171" s="230"/>
      <c r="H171" s="229">
        <v>2250</v>
      </c>
      <c r="I171" s="229">
        <v>0</v>
      </c>
      <c r="J171" s="229">
        <v>0</v>
      </c>
      <c r="K171" s="229">
        <v>0</v>
      </c>
      <c r="L171" s="229">
        <v>0</v>
      </c>
      <c r="M171" s="229">
        <v>0</v>
      </c>
      <c r="N171" s="229">
        <v>0</v>
      </c>
      <c r="O171" s="229">
        <v>0</v>
      </c>
      <c r="P171" s="230">
        <v>2250</v>
      </c>
      <c r="Q171" s="230">
        <v>0</v>
      </c>
      <c r="R171" s="230">
        <f t="shared" si="7"/>
        <v>657867.3899999999</v>
      </c>
      <c r="S171" s="229"/>
    </row>
    <row r="172" spans="1:19" s="231" customFormat="1" ht="12.75" hidden="1" outlineLevel="1">
      <c r="A172" s="229" t="s">
        <v>1631</v>
      </c>
      <c r="B172" s="230"/>
      <c r="C172" s="230" t="s">
        <v>1632</v>
      </c>
      <c r="D172" s="230" t="s">
        <v>1633</v>
      </c>
      <c r="E172" s="230">
        <v>0</v>
      </c>
      <c r="F172" s="230">
        <v>2141.43</v>
      </c>
      <c r="G172" s="230"/>
      <c r="H172" s="229">
        <v>0</v>
      </c>
      <c r="I172" s="229">
        <v>0</v>
      </c>
      <c r="J172" s="229">
        <v>0</v>
      </c>
      <c r="K172" s="229">
        <v>0</v>
      </c>
      <c r="L172" s="229">
        <v>0</v>
      </c>
      <c r="M172" s="229">
        <v>0</v>
      </c>
      <c r="N172" s="229">
        <v>0</v>
      </c>
      <c r="O172" s="229">
        <v>0</v>
      </c>
      <c r="P172" s="230">
        <v>0</v>
      </c>
      <c r="Q172" s="230">
        <v>0</v>
      </c>
      <c r="R172" s="230">
        <f t="shared" si="7"/>
        <v>2141.43</v>
      </c>
      <c r="S172" s="229"/>
    </row>
    <row r="173" spans="1:19" s="231" customFormat="1" ht="12.75" hidden="1" outlineLevel="1">
      <c r="A173" s="229" t="s">
        <v>1634</v>
      </c>
      <c r="B173" s="230"/>
      <c r="C173" s="230" t="s">
        <v>1635</v>
      </c>
      <c r="D173" s="230" t="s">
        <v>1636</v>
      </c>
      <c r="E173" s="230">
        <v>34388.07</v>
      </c>
      <c r="F173" s="230">
        <v>20323.95</v>
      </c>
      <c r="G173" s="230"/>
      <c r="H173" s="229">
        <v>0</v>
      </c>
      <c r="I173" s="229">
        <v>0</v>
      </c>
      <c r="J173" s="229">
        <v>0</v>
      </c>
      <c r="K173" s="229">
        <v>0</v>
      </c>
      <c r="L173" s="229">
        <v>0</v>
      </c>
      <c r="M173" s="229">
        <v>0</v>
      </c>
      <c r="N173" s="229">
        <v>0</v>
      </c>
      <c r="O173" s="229">
        <v>0</v>
      </c>
      <c r="P173" s="230">
        <v>0</v>
      </c>
      <c r="Q173" s="230">
        <v>0</v>
      </c>
      <c r="R173" s="230">
        <f t="shared" si="7"/>
        <v>54712.020000000004</v>
      </c>
      <c r="S173" s="229"/>
    </row>
    <row r="174" spans="1:19" s="231" customFormat="1" ht="12.75" hidden="1" outlineLevel="1">
      <c r="A174" s="229" t="s">
        <v>1637</v>
      </c>
      <c r="B174" s="230"/>
      <c r="C174" s="230" t="s">
        <v>1638</v>
      </c>
      <c r="D174" s="230" t="s">
        <v>1639</v>
      </c>
      <c r="E174" s="230">
        <v>376399.81</v>
      </c>
      <c r="F174" s="230">
        <v>8695.21</v>
      </c>
      <c r="G174" s="230"/>
      <c r="H174" s="229">
        <v>0</v>
      </c>
      <c r="I174" s="229">
        <v>0</v>
      </c>
      <c r="J174" s="229">
        <v>0</v>
      </c>
      <c r="K174" s="229">
        <v>0</v>
      </c>
      <c r="L174" s="229">
        <v>0</v>
      </c>
      <c r="M174" s="229">
        <v>0</v>
      </c>
      <c r="N174" s="229">
        <v>0</v>
      </c>
      <c r="O174" s="229">
        <v>0</v>
      </c>
      <c r="P174" s="230">
        <v>0</v>
      </c>
      <c r="Q174" s="230">
        <v>0</v>
      </c>
      <c r="R174" s="230">
        <f t="shared" si="7"/>
        <v>385095.02</v>
      </c>
      <c r="S174" s="229"/>
    </row>
    <row r="175" spans="1:19" s="231" customFormat="1" ht="12.75" hidden="1" outlineLevel="1">
      <c r="A175" s="229" t="s">
        <v>1640</v>
      </c>
      <c r="B175" s="230"/>
      <c r="C175" s="230" t="s">
        <v>1641</v>
      </c>
      <c r="D175" s="230" t="s">
        <v>1642</v>
      </c>
      <c r="E175" s="230">
        <v>99781.16</v>
      </c>
      <c r="F175" s="230">
        <v>16815.8</v>
      </c>
      <c r="G175" s="230"/>
      <c r="H175" s="229">
        <v>3922.08</v>
      </c>
      <c r="I175" s="229">
        <v>86.5</v>
      </c>
      <c r="J175" s="229">
        <v>116</v>
      </c>
      <c r="K175" s="229">
        <v>0</v>
      </c>
      <c r="L175" s="229">
        <v>0</v>
      </c>
      <c r="M175" s="229">
        <v>36.5</v>
      </c>
      <c r="N175" s="229">
        <v>0</v>
      </c>
      <c r="O175" s="229">
        <v>60</v>
      </c>
      <c r="P175" s="230">
        <v>4221.08</v>
      </c>
      <c r="Q175" s="230">
        <v>0</v>
      </c>
      <c r="R175" s="230">
        <f t="shared" si="7"/>
        <v>120818.04000000001</v>
      </c>
      <c r="S175" s="229"/>
    </row>
    <row r="176" spans="1:19" s="231" customFormat="1" ht="12.75" hidden="1" outlineLevel="1">
      <c r="A176" s="229" t="s">
        <v>1643</v>
      </c>
      <c r="B176" s="230"/>
      <c r="C176" s="230" t="s">
        <v>1644</v>
      </c>
      <c r="D176" s="230" t="s">
        <v>1645</v>
      </c>
      <c r="E176" s="230">
        <v>6427.52</v>
      </c>
      <c r="F176" s="230">
        <v>0</v>
      </c>
      <c r="G176" s="230"/>
      <c r="H176" s="229">
        <v>0</v>
      </c>
      <c r="I176" s="229">
        <v>0</v>
      </c>
      <c r="J176" s="229">
        <v>0</v>
      </c>
      <c r="K176" s="229">
        <v>0</v>
      </c>
      <c r="L176" s="229">
        <v>0</v>
      </c>
      <c r="M176" s="229">
        <v>0</v>
      </c>
      <c r="N176" s="229">
        <v>0</v>
      </c>
      <c r="O176" s="229">
        <v>0</v>
      </c>
      <c r="P176" s="230">
        <v>0</v>
      </c>
      <c r="Q176" s="230">
        <v>0</v>
      </c>
      <c r="R176" s="230">
        <f t="shared" si="7"/>
        <v>6427.52</v>
      </c>
      <c r="S176" s="229"/>
    </row>
    <row r="177" spans="1:19" s="231" customFormat="1" ht="12.75" hidden="1" outlineLevel="1">
      <c r="A177" s="229" t="s">
        <v>1646</v>
      </c>
      <c r="B177" s="230"/>
      <c r="C177" s="230" t="s">
        <v>1647</v>
      </c>
      <c r="D177" s="230" t="s">
        <v>1648</v>
      </c>
      <c r="E177" s="230">
        <v>2910805.06</v>
      </c>
      <c r="F177" s="230">
        <v>54148.4</v>
      </c>
      <c r="G177" s="230"/>
      <c r="H177" s="229">
        <v>813777.06</v>
      </c>
      <c r="I177" s="229">
        <v>4133.79</v>
      </c>
      <c r="J177" s="229">
        <v>0</v>
      </c>
      <c r="K177" s="229">
        <v>14082.14</v>
      </c>
      <c r="L177" s="229">
        <v>3540.61</v>
      </c>
      <c r="M177" s="229">
        <v>742.61</v>
      </c>
      <c r="N177" s="229">
        <v>0</v>
      </c>
      <c r="O177" s="229">
        <v>71971.16</v>
      </c>
      <c r="P177" s="230">
        <v>908247.37</v>
      </c>
      <c r="Q177" s="230">
        <v>0</v>
      </c>
      <c r="R177" s="230">
        <f t="shared" si="7"/>
        <v>3873200.83</v>
      </c>
      <c r="S177" s="229"/>
    </row>
    <row r="178" spans="1:19" s="231" customFormat="1" ht="12.75" hidden="1" outlineLevel="1">
      <c r="A178" s="229" t="s">
        <v>1649</v>
      </c>
      <c r="B178" s="230"/>
      <c r="C178" s="230" t="s">
        <v>1650</v>
      </c>
      <c r="D178" s="230" t="s">
        <v>1651</v>
      </c>
      <c r="E178" s="230">
        <v>232224.86</v>
      </c>
      <c r="F178" s="230">
        <v>1072.17</v>
      </c>
      <c r="G178" s="230"/>
      <c r="H178" s="229">
        <v>0</v>
      </c>
      <c r="I178" s="229">
        <v>566.86</v>
      </c>
      <c r="J178" s="229">
        <v>0</v>
      </c>
      <c r="K178" s="229">
        <v>0</v>
      </c>
      <c r="L178" s="229">
        <v>415.22</v>
      </c>
      <c r="M178" s="229">
        <v>180.01</v>
      </c>
      <c r="N178" s="229">
        <v>0</v>
      </c>
      <c r="O178" s="229">
        <v>289.5</v>
      </c>
      <c r="P178" s="230">
        <v>1451.59</v>
      </c>
      <c r="Q178" s="230">
        <v>0</v>
      </c>
      <c r="R178" s="230">
        <f t="shared" si="7"/>
        <v>234748.62</v>
      </c>
      <c r="S178" s="229"/>
    </row>
    <row r="179" spans="1:19" s="231" customFormat="1" ht="12.75" hidden="1" outlineLevel="1">
      <c r="A179" s="229" t="s">
        <v>1655</v>
      </c>
      <c r="B179" s="230"/>
      <c r="C179" s="230" t="s">
        <v>1656</v>
      </c>
      <c r="D179" s="230" t="s">
        <v>1657</v>
      </c>
      <c r="E179" s="230">
        <v>8246.91</v>
      </c>
      <c r="F179" s="230">
        <v>0</v>
      </c>
      <c r="G179" s="230"/>
      <c r="H179" s="229">
        <v>0</v>
      </c>
      <c r="I179" s="229">
        <v>0</v>
      </c>
      <c r="J179" s="229">
        <v>0</v>
      </c>
      <c r="K179" s="229">
        <v>0</v>
      </c>
      <c r="L179" s="229">
        <v>0</v>
      </c>
      <c r="M179" s="229">
        <v>0</v>
      </c>
      <c r="N179" s="229">
        <v>0</v>
      </c>
      <c r="O179" s="229">
        <v>0</v>
      </c>
      <c r="P179" s="230">
        <v>0</v>
      </c>
      <c r="Q179" s="230">
        <v>0</v>
      </c>
      <c r="R179" s="230">
        <f t="shared" si="7"/>
        <v>8246.91</v>
      </c>
      <c r="S179" s="229"/>
    </row>
    <row r="180" spans="1:19" s="231" customFormat="1" ht="12.75" hidden="1" outlineLevel="1">
      <c r="A180" s="229" t="s">
        <v>1658</v>
      </c>
      <c r="B180" s="230"/>
      <c r="C180" s="230" t="s">
        <v>1659</v>
      </c>
      <c r="D180" s="230" t="s">
        <v>1660</v>
      </c>
      <c r="E180" s="230">
        <v>167.47</v>
      </c>
      <c r="F180" s="230">
        <v>0</v>
      </c>
      <c r="G180" s="230"/>
      <c r="H180" s="229">
        <v>0</v>
      </c>
      <c r="I180" s="229">
        <v>0</v>
      </c>
      <c r="J180" s="229">
        <v>0</v>
      </c>
      <c r="K180" s="229">
        <v>0</v>
      </c>
      <c r="L180" s="229">
        <v>0</v>
      </c>
      <c r="M180" s="229">
        <v>0</v>
      </c>
      <c r="N180" s="229">
        <v>0</v>
      </c>
      <c r="O180" s="229">
        <v>0</v>
      </c>
      <c r="P180" s="230">
        <v>0</v>
      </c>
      <c r="Q180" s="230">
        <v>0</v>
      </c>
      <c r="R180" s="230">
        <f t="shared" si="7"/>
        <v>167.47</v>
      </c>
      <c r="S180" s="229"/>
    </row>
    <row r="181" spans="1:19" s="231" customFormat="1" ht="12.75" hidden="1" outlineLevel="1">
      <c r="A181" s="229" t="s">
        <v>1661</v>
      </c>
      <c r="B181" s="230"/>
      <c r="C181" s="230" t="s">
        <v>1662</v>
      </c>
      <c r="D181" s="230" t="s">
        <v>1663</v>
      </c>
      <c r="E181" s="230">
        <v>91929.19</v>
      </c>
      <c r="F181" s="230">
        <v>1600.38</v>
      </c>
      <c r="G181" s="230"/>
      <c r="H181" s="229">
        <v>257.69</v>
      </c>
      <c r="I181" s="229">
        <v>0</v>
      </c>
      <c r="J181" s="229">
        <v>0</v>
      </c>
      <c r="K181" s="229">
        <v>0</v>
      </c>
      <c r="L181" s="229">
        <v>0</v>
      </c>
      <c r="M181" s="229">
        <v>0</v>
      </c>
      <c r="N181" s="229">
        <v>0</v>
      </c>
      <c r="O181" s="229">
        <v>314.4</v>
      </c>
      <c r="P181" s="230">
        <v>572.09</v>
      </c>
      <c r="Q181" s="230">
        <v>0</v>
      </c>
      <c r="R181" s="230">
        <f t="shared" si="7"/>
        <v>94101.66</v>
      </c>
      <c r="S181" s="229"/>
    </row>
    <row r="182" spans="1:19" s="231" customFormat="1" ht="12.75" hidden="1" outlineLevel="1">
      <c r="A182" s="229" t="s">
        <v>1664</v>
      </c>
      <c r="B182" s="230"/>
      <c r="C182" s="230" t="s">
        <v>1665</v>
      </c>
      <c r="D182" s="230" t="s">
        <v>1666</v>
      </c>
      <c r="E182" s="230">
        <v>38098.72</v>
      </c>
      <c r="F182" s="230">
        <v>2445</v>
      </c>
      <c r="G182" s="230"/>
      <c r="H182" s="229">
        <v>0</v>
      </c>
      <c r="I182" s="229">
        <v>0</v>
      </c>
      <c r="J182" s="229">
        <v>0</v>
      </c>
      <c r="K182" s="229">
        <v>0</v>
      </c>
      <c r="L182" s="229">
        <v>0</v>
      </c>
      <c r="M182" s="229">
        <v>0</v>
      </c>
      <c r="N182" s="229">
        <v>0</v>
      </c>
      <c r="O182" s="229">
        <v>0</v>
      </c>
      <c r="P182" s="230">
        <v>0</v>
      </c>
      <c r="Q182" s="230">
        <v>0</v>
      </c>
      <c r="R182" s="230">
        <f t="shared" si="7"/>
        <v>40543.72</v>
      </c>
      <c r="S182" s="229"/>
    </row>
    <row r="183" spans="1:19" s="231" customFormat="1" ht="12.75" hidden="1" outlineLevel="1">
      <c r="A183" s="229" t="s">
        <v>1667</v>
      </c>
      <c r="B183" s="230"/>
      <c r="C183" s="230" t="s">
        <v>1668</v>
      </c>
      <c r="D183" s="230" t="s">
        <v>1669</v>
      </c>
      <c r="E183" s="230">
        <v>90527.19</v>
      </c>
      <c r="F183" s="230">
        <v>1646.13</v>
      </c>
      <c r="G183" s="230"/>
      <c r="H183" s="229">
        <v>0</v>
      </c>
      <c r="I183" s="229">
        <v>0</v>
      </c>
      <c r="J183" s="229">
        <v>0</v>
      </c>
      <c r="K183" s="229">
        <v>0</v>
      </c>
      <c r="L183" s="229">
        <v>0</v>
      </c>
      <c r="M183" s="229">
        <v>0</v>
      </c>
      <c r="N183" s="229">
        <v>0</v>
      </c>
      <c r="O183" s="229">
        <v>0</v>
      </c>
      <c r="P183" s="230">
        <v>0</v>
      </c>
      <c r="Q183" s="230">
        <v>0</v>
      </c>
      <c r="R183" s="230">
        <f t="shared" si="7"/>
        <v>92173.32</v>
      </c>
      <c r="S183" s="229"/>
    </row>
    <row r="184" spans="1:19" s="231" customFormat="1" ht="12.75" hidden="1" outlineLevel="1">
      <c r="A184" s="229" t="s">
        <v>1670</v>
      </c>
      <c r="B184" s="230"/>
      <c r="C184" s="230" t="s">
        <v>1671</v>
      </c>
      <c r="D184" s="230" t="s">
        <v>1672</v>
      </c>
      <c r="E184" s="230">
        <v>39322.86</v>
      </c>
      <c r="F184" s="230">
        <v>0</v>
      </c>
      <c r="G184" s="230"/>
      <c r="H184" s="229">
        <v>0</v>
      </c>
      <c r="I184" s="229">
        <v>0</v>
      </c>
      <c r="J184" s="229">
        <v>0</v>
      </c>
      <c r="K184" s="229">
        <v>0</v>
      </c>
      <c r="L184" s="229">
        <v>0</v>
      </c>
      <c r="M184" s="229">
        <v>0</v>
      </c>
      <c r="N184" s="229">
        <v>0</v>
      </c>
      <c r="O184" s="229">
        <v>0</v>
      </c>
      <c r="P184" s="230">
        <v>0</v>
      </c>
      <c r="Q184" s="230">
        <v>0</v>
      </c>
      <c r="R184" s="230">
        <f t="shared" si="7"/>
        <v>39322.86</v>
      </c>
      <c r="S184" s="229"/>
    </row>
    <row r="185" spans="1:19" s="231" customFormat="1" ht="12.75" hidden="1" outlineLevel="1">
      <c r="A185" s="229" t="s">
        <v>1673</v>
      </c>
      <c r="B185" s="230"/>
      <c r="C185" s="230" t="s">
        <v>1674</v>
      </c>
      <c r="D185" s="230" t="s">
        <v>1675</v>
      </c>
      <c r="E185" s="230">
        <v>230230.97</v>
      </c>
      <c r="F185" s="230">
        <v>8893.79</v>
      </c>
      <c r="G185" s="230"/>
      <c r="H185" s="229">
        <v>0</v>
      </c>
      <c r="I185" s="229">
        <v>0</v>
      </c>
      <c r="J185" s="229">
        <v>0</v>
      </c>
      <c r="K185" s="229">
        <v>0</v>
      </c>
      <c r="L185" s="229">
        <v>0</v>
      </c>
      <c r="M185" s="229">
        <v>0</v>
      </c>
      <c r="N185" s="229">
        <v>0</v>
      </c>
      <c r="O185" s="229">
        <v>0</v>
      </c>
      <c r="P185" s="230">
        <v>0</v>
      </c>
      <c r="Q185" s="230">
        <v>0</v>
      </c>
      <c r="R185" s="230">
        <f t="shared" si="7"/>
        <v>239124.76</v>
      </c>
      <c r="S185" s="229"/>
    </row>
    <row r="186" spans="1:19" s="231" customFormat="1" ht="12.75" hidden="1" outlineLevel="1">
      <c r="A186" s="229" t="s">
        <v>1676</v>
      </c>
      <c r="B186" s="230"/>
      <c r="C186" s="230" t="s">
        <v>1677</v>
      </c>
      <c r="D186" s="230" t="s">
        <v>1678</v>
      </c>
      <c r="E186" s="230">
        <v>19834.66</v>
      </c>
      <c r="F186" s="230">
        <v>7864.95</v>
      </c>
      <c r="G186" s="230"/>
      <c r="H186" s="229">
        <v>0</v>
      </c>
      <c r="I186" s="229">
        <v>0</v>
      </c>
      <c r="J186" s="229">
        <v>0</v>
      </c>
      <c r="K186" s="229">
        <v>0</v>
      </c>
      <c r="L186" s="229">
        <v>0</v>
      </c>
      <c r="M186" s="229">
        <v>0</v>
      </c>
      <c r="N186" s="229">
        <v>0</v>
      </c>
      <c r="O186" s="229">
        <v>0</v>
      </c>
      <c r="P186" s="230">
        <v>0</v>
      </c>
      <c r="Q186" s="230">
        <v>0</v>
      </c>
      <c r="R186" s="230">
        <f t="shared" si="7"/>
        <v>27699.61</v>
      </c>
      <c r="S186" s="229"/>
    </row>
    <row r="187" spans="1:19" s="231" customFormat="1" ht="12.75" hidden="1" outlineLevel="1">
      <c r="A187" s="229" t="s">
        <v>1679</v>
      </c>
      <c r="B187" s="230"/>
      <c r="C187" s="230" t="s">
        <v>1680</v>
      </c>
      <c r="D187" s="230" t="s">
        <v>1681</v>
      </c>
      <c r="E187" s="230">
        <v>11753.41</v>
      </c>
      <c r="F187" s="230">
        <v>0</v>
      </c>
      <c r="G187" s="230"/>
      <c r="H187" s="229">
        <v>0</v>
      </c>
      <c r="I187" s="229">
        <v>0</v>
      </c>
      <c r="J187" s="229">
        <v>0</v>
      </c>
      <c r="K187" s="229">
        <v>0</v>
      </c>
      <c r="L187" s="229">
        <v>0</v>
      </c>
      <c r="M187" s="229">
        <v>0</v>
      </c>
      <c r="N187" s="229">
        <v>0</v>
      </c>
      <c r="O187" s="229">
        <v>0</v>
      </c>
      <c r="P187" s="230">
        <v>0</v>
      </c>
      <c r="Q187" s="230">
        <v>0</v>
      </c>
      <c r="R187" s="230">
        <f t="shared" si="7"/>
        <v>11753.41</v>
      </c>
      <c r="S187" s="229"/>
    </row>
    <row r="188" spans="1:19" s="231" customFormat="1" ht="12.75" hidden="1" outlineLevel="1">
      <c r="A188" s="229" t="s">
        <v>1682</v>
      </c>
      <c r="B188" s="230"/>
      <c r="C188" s="230" t="s">
        <v>1683</v>
      </c>
      <c r="D188" s="230" t="s">
        <v>1684</v>
      </c>
      <c r="E188" s="230">
        <v>10722.31</v>
      </c>
      <c r="F188" s="230">
        <v>0</v>
      </c>
      <c r="G188" s="230"/>
      <c r="H188" s="229">
        <v>0</v>
      </c>
      <c r="I188" s="229">
        <v>0</v>
      </c>
      <c r="J188" s="229">
        <v>0</v>
      </c>
      <c r="K188" s="229">
        <v>0</v>
      </c>
      <c r="L188" s="229">
        <v>0</v>
      </c>
      <c r="M188" s="229">
        <v>0</v>
      </c>
      <c r="N188" s="229">
        <v>0</v>
      </c>
      <c r="O188" s="229">
        <v>0</v>
      </c>
      <c r="P188" s="230">
        <v>0</v>
      </c>
      <c r="Q188" s="230">
        <v>0</v>
      </c>
      <c r="R188" s="230">
        <f t="shared" si="7"/>
        <v>10722.31</v>
      </c>
      <c r="S188" s="229"/>
    </row>
    <row r="189" spans="1:19" s="231" customFormat="1" ht="12.75" hidden="1" outlineLevel="1">
      <c r="A189" s="229" t="s">
        <v>1685</v>
      </c>
      <c r="B189" s="230"/>
      <c r="C189" s="230" t="s">
        <v>1686</v>
      </c>
      <c r="D189" s="230" t="s">
        <v>1687</v>
      </c>
      <c r="E189" s="230">
        <v>71507.51</v>
      </c>
      <c r="F189" s="230">
        <v>454.02</v>
      </c>
      <c r="G189" s="230"/>
      <c r="H189" s="229">
        <v>3017.93</v>
      </c>
      <c r="I189" s="229">
        <v>0</v>
      </c>
      <c r="J189" s="229">
        <v>0</v>
      </c>
      <c r="K189" s="229">
        <v>0</v>
      </c>
      <c r="L189" s="229">
        <v>1248.62</v>
      </c>
      <c r="M189" s="229">
        <v>290</v>
      </c>
      <c r="N189" s="229">
        <v>0</v>
      </c>
      <c r="O189" s="229">
        <v>82.48</v>
      </c>
      <c r="P189" s="230">
        <v>4639.03</v>
      </c>
      <c r="Q189" s="230">
        <v>0</v>
      </c>
      <c r="R189" s="230">
        <f t="shared" si="7"/>
        <v>76600.56</v>
      </c>
      <c r="S189" s="229"/>
    </row>
    <row r="190" spans="1:19" s="231" customFormat="1" ht="12.75" hidden="1" outlineLevel="1">
      <c r="A190" s="229" t="s">
        <v>1688</v>
      </c>
      <c r="B190" s="230"/>
      <c r="C190" s="230" t="s">
        <v>1689</v>
      </c>
      <c r="D190" s="230" t="s">
        <v>1690</v>
      </c>
      <c r="E190" s="230">
        <v>6110.3</v>
      </c>
      <c r="F190" s="230">
        <v>0</v>
      </c>
      <c r="G190" s="230"/>
      <c r="H190" s="229">
        <v>0</v>
      </c>
      <c r="I190" s="229">
        <v>0</v>
      </c>
      <c r="J190" s="229">
        <v>0</v>
      </c>
      <c r="K190" s="229">
        <v>0</v>
      </c>
      <c r="L190" s="229">
        <v>0</v>
      </c>
      <c r="M190" s="229">
        <v>0</v>
      </c>
      <c r="N190" s="229">
        <v>0</v>
      </c>
      <c r="O190" s="229">
        <v>0</v>
      </c>
      <c r="P190" s="230">
        <v>0</v>
      </c>
      <c r="Q190" s="230">
        <v>0</v>
      </c>
      <c r="R190" s="230">
        <f t="shared" si="7"/>
        <v>6110.3</v>
      </c>
      <c r="S190" s="229"/>
    </row>
    <row r="191" spans="1:19" s="231" customFormat="1" ht="12.75" hidden="1" outlineLevel="1">
      <c r="A191" s="229" t="s">
        <v>1691</v>
      </c>
      <c r="B191" s="230"/>
      <c r="C191" s="230" t="s">
        <v>1692</v>
      </c>
      <c r="D191" s="230" t="s">
        <v>1693</v>
      </c>
      <c r="E191" s="230">
        <v>14152.44</v>
      </c>
      <c r="F191" s="230">
        <v>0</v>
      </c>
      <c r="G191" s="230"/>
      <c r="H191" s="229">
        <v>0</v>
      </c>
      <c r="I191" s="229">
        <v>0</v>
      </c>
      <c r="J191" s="229">
        <v>0</v>
      </c>
      <c r="K191" s="229">
        <v>0</v>
      </c>
      <c r="L191" s="229">
        <v>0</v>
      </c>
      <c r="M191" s="229">
        <v>0</v>
      </c>
      <c r="N191" s="229">
        <v>0</v>
      </c>
      <c r="O191" s="229">
        <v>0</v>
      </c>
      <c r="P191" s="230">
        <v>0</v>
      </c>
      <c r="Q191" s="230">
        <v>0</v>
      </c>
      <c r="R191" s="230">
        <f t="shared" si="7"/>
        <v>14152.44</v>
      </c>
      <c r="S191" s="229"/>
    </row>
    <row r="192" spans="1:19" s="231" customFormat="1" ht="12.75" hidden="1" outlineLevel="1">
      <c r="A192" s="229" t="s">
        <v>1694</v>
      </c>
      <c r="B192" s="230"/>
      <c r="C192" s="230" t="s">
        <v>1695</v>
      </c>
      <c r="D192" s="230" t="s">
        <v>1696</v>
      </c>
      <c r="E192" s="230">
        <v>20031.48</v>
      </c>
      <c r="F192" s="230">
        <v>0</v>
      </c>
      <c r="G192" s="230"/>
      <c r="H192" s="229">
        <v>0</v>
      </c>
      <c r="I192" s="229">
        <v>0</v>
      </c>
      <c r="J192" s="229">
        <v>0</v>
      </c>
      <c r="K192" s="229">
        <v>0</v>
      </c>
      <c r="L192" s="229">
        <v>0</v>
      </c>
      <c r="M192" s="229">
        <v>0</v>
      </c>
      <c r="N192" s="229">
        <v>0</v>
      </c>
      <c r="O192" s="229">
        <v>0</v>
      </c>
      <c r="P192" s="230">
        <v>0</v>
      </c>
      <c r="Q192" s="230">
        <v>0</v>
      </c>
      <c r="R192" s="230">
        <f t="shared" si="7"/>
        <v>20031.48</v>
      </c>
      <c r="S192" s="229"/>
    </row>
    <row r="193" spans="1:19" s="231" customFormat="1" ht="12.75" hidden="1" outlineLevel="1">
      <c r="A193" s="229" t="s">
        <v>1697</v>
      </c>
      <c r="B193" s="230"/>
      <c r="C193" s="230" t="s">
        <v>1698</v>
      </c>
      <c r="D193" s="230" t="s">
        <v>1699</v>
      </c>
      <c r="E193" s="230">
        <v>94913.8</v>
      </c>
      <c r="F193" s="230">
        <v>0</v>
      </c>
      <c r="G193" s="230"/>
      <c r="H193" s="229">
        <v>545.87</v>
      </c>
      <c r="I193" s="229">
        <v>0</v>
      </c>
      <c r="J193" s="229">
        <v>0</v>
      </c>
      <c r="K193" s="229">
        <v>0</v>
      </c>
      <c r="L193" s="229">
        <v>32.06</v>
      </c>
      <c r="M193" s="229">
        <v>0</v>
      </c>
      <c r="N193" s="229">
        <v>0</v>
      </c>
      <c r="O193" s="229">
        <v>0</v>
      </c>
      <c r="P193" s="230">
        <v>577.93</v>
      </c>
      <c r="Q193" s="230">
        <v>0</v>
      </c>
      <c r="R193" s="230">
        <f aca="true" t="shared" si="8" ref="R193:R224">E193+F193+G193+P193+Q193</f>
        <v>95491.73</v>
      </c>
      <c r="S193" s="229"/>
    </row>
    <row r="194" spans="1:19" s="231" customFormat="1" ht="12.75" hidden="1" outlineLevel="1">
      <c r="A194" s="229" t="s">
        <v>1700</v>
      </c>
      <c r="B194" s="230"/>
      <c r="C194" s="230" t="s">
        <v>1701</v>
      </c>
      <c r="D194" s="230" t="s">
        <v>1702</v>
      </c>
      <c r="E194" s="230">
        <v>52.58</v>
      </c>
      <c r="F194" s="230">
        <v>0</v>
      </c>
      <c r="G194" s="230"/>
      <c r="H194" s="229">
        <v>0</v>
      </c>
      <c r="I194" s="229">
        <v>0</v>
      </c>
      <c r="J194" s="229">
        <v>0</v>
      </c>
      <c r="K194" s="229">
        <v>0</v>
      </c>
      <c r="L194" s="229">
        <v>0</v>
      </c>
      <c r="M194" s="229">
        <v>0</v>
      </c>
      <c r="N194" s="229">
        <v>0</v>
      </c>
      <c r="O194" s="229">
        <v>0</v>
      </c>
      <c r="P194" s="230">
        <v>0</v>
      </c>
      <c r="Q194" s="230">
        <v>0</v>
      </c>
      <c r="R194" s="230">
        <f t="shared" si="8"/>
        <v>52.58</v>
      </c>
      <c r="S194" s="229"/>
    </row>
    <row r="195" spans="1:19" s="231" customFormat="1" ht="12.75" hidden="1" outlineLevel="1">
      <c r="A195" s="229" t="s">
        <v>1703</v>
      </c>
      <c r="B195" s="230"/>
      <c r="C195" s="230" t="s">
        <v>1704</v>
      </c>
      <c r="D195" s="230" t="s">
        <v>1705</v>
      </c>
      <c r="E195" s="230">
        <v>155.23</v>
      </c>
      <c r="F195" s="230">
        <v>0</v>
      </c>
      <c r="G195" s="230"/>
      <c r="H195" s="229">
        <v>0</v>
      </c>
      <c r="I195" s="229">
        <v>0</v>
      </c>
      <c r="J195" s="229">
        <v>0</v>
      </c>
      <c r="K195" s="229">
        <v>0</v>
      </c>
      <c r="L195" s="229">
        <v>0</v>
      </c>
      <c r="M195" s="229">
        <v>0</v>
      </c>
      <c r="N195" s="229">
        <v>0</v>
      </c>
      <c r="O195" s="229">
        <v>0</v>
      </c>
      <c r="P195" s="230">
        <v>0</v>
      </c>
      <c r="Q195" s="230">
        <v>0</v>
      </c>
      <c r="R195" s="230">
        <f t="shared" si="8"/>
        <v>155.23</v>
      </c>
      <c r="S195" s="229"/>
    </row>
    <row r="196" spans="1:19" s="231" customFormat="1" ht="12.75" hidden="1" outlineLevel="1">
      <c r="A196" s="229" t="s">
        <v>1706</v>
      </c>
      <c r="B196" s="230"/>
      <c r="C196" s="230" t="s">
        <v>1707</v>
      </c>
      <c r="D196" s="230" t="s">
        <v>1708</v>
      </c>
      <c r="E196" s="230">
        <v>43590.26</v>
      </c>
      <c r="F196" s="230">
        <v>1934.42</v>
      </c>
      <c r="G196" s="230"/>
      <c r="H196" s="229">
        <v>0</v>
      </c>
      <c r="I196" s="229">
        <v>0</v>
      </c>
      <c r="J196" s="229">
        <v>0</v>
      </c>
      <c r="K196" s="229">
        <v>0</v>
      </c>
      <c r="L196" s="229">
        <v>0</v>
      </c>
      <c r="M196" s="229">
        <v>0</v>
      </c>
      <c r="N196" s="229">
        <v>0</v>
      </c>
      <c r="O196" s="229">
        <v>0</v>
      </c>
      <c r="P196" s="230">
        <v>0</v>
      </c>
      <c r="Q196" s="230">
        <v>0</v>
      </c>
      <c r="R196" s="230">
        <f t="shared" si="8"/>
        <v>45524.68</v>
      </c>
      <c r="S196" s="229"/>
    </row>
    <row r="197" spans="1:19" s="231" customFormat="1" ht="12.75" hidden="1" outlineLevel="1">
      <c r="A197" s="229" t="s">
        <v>1709</v>
      </c>
      <c r="B197" s="230"/>
      <c r="C197" s="230" t="s">
        <v>1710</v>
      </c>
      <c r="D197" s="230" t="s">
        <v>1711</v>
      </c>
      <c r="E197" s="230">
        <v>0</v>
      </c>
      <c r="F197" s="230">
        <v>2144.4</v>
      </c>
      <c r="G197" s="230"/>
      <c r="H197" s="229">
        <v>0</v>
      </c>
      <c r="I197" s="229">
        <v>0</v>
      </c>
      <c r="J197" s="229">
        <v>0</v>
      </c>
      <c r="K197" s="229">
        <v>0</v>
      </c>
      <c r="L197" s="229">
        <v>0</v>
      </c>
      <c r="M197" s="229">
        <v>0</v>
      </c>
      <c r="N197" s="229">
        <v>0</v>
      </c>
      <c r="O197" s="229">
        <v>0</v>
      </c>
      <c r="P197" s="230">
        <v>0</v>
      </c>
      <c r="Q197" s="230">
        <v>0</v>
      </c>
      <c r="R197" s="230">
        <f t="shared" si="8"/>
        <v>2144.4</v>
      </c>
      <c r="S197" s="229"/>
    </row>
    <row r="198" spans="1:19" s="231" customFormat="1" ht="12.75" hidden="1" outlineLevel="1">
      <c r="A198" s="229" t="s">
        <v>1715</v>
      </c>
      <c r="B198" s="230"/>
      <c r="C198" s="230" t="s">
        <v>1716</v>
      </c>
      <c r="D198" s="230" t="s">
        <v>1717</v>
      </c>
      <c r="E198" s="230">
        <v>3465.63</v>
      </c>
      <c r="F198" s="230">
        <v>3576.98</v>
      </c>
      <c r="G198" s="230"/>
      <c r="H198" s="229">
        <v>0</v>
      </c>
      <c r="I198" s="229">
        <v>0</v>
      </c>
      <c r="J198" s="229">
        <v>0</v>
      </c>
      <c r="K198" s="229">
        <v>0</v>
      </c>
      <c r="L198" s="229">
        <v>0</v>
      </c>
      <c r="M198" s="229">
        <v>0</v>
      </c>
      <c r="N198" s="229">
        <v>0</v>
      </c>
      <c r="O198" s="229">
        <v>0</v>
      </c>
      <c r="P198" s="230">
        <v>0</v>
      </c>
      <c r="Q198" s="230">
        <v>0</v>
      </c>
      <c r="R198" s="230">
        <f t="shared" si="8"/>
        <v>7042.610000000001</v>
      </c>
      <c r="S198" s="229"/>
    </row>
    <row r="199" spans="1:19" s="231" customFormat="1" ht="12.75" hidden="1" outlineLevel="1">
      <c r="A199" s="229" t="s">
        <v>1736</v>
      </c>
      <c r="B199" s="230"/>
      <c r="C199" s="230" t="s">
        <v>1737</v>
      </c>
      <c r="D199" s="230" t="s">
        <v>1738</v>
      </c>
      <c r="E199" s="230">
        <v>1127.62</v>
      </c>
      <c r="F199" s="230">
        <v>34.02</v>
      </c>
      <c r="G199" s="230"/>
      <c r="H199" s="229">
        <v>0</v>
      </c>
      <c r="I199" s="229">
        <v>0</v>
      </c>
      <c r="J199" s="229">
        <v>0</v>
      </c>
      <c r="K199" s="229">
        <v>0</v>
      </c>
      <c r="L199" s="229">
        <v>0</v>
      </c>
      <c r="M199" s="229">
        <v>0</v>
      </c>
      <c r="N199" s="229">
        <v>0</v>
      </c>
      <c r="O199" s="229">
        <v>0</v>
      </c>
      <c r="P199" s="230">
        <v>0</v>
      </c>
      <c r="Q199" s="230">
        <v>0</v>
      </c>
      <c r="R199" s="230">
        <f t="shared" si="8"/>
        <v>1161.6399999999999</v>
      </c>
      <c r="S199" s="229"/>
    </row>
    <row r="200" spans="1:19" s="231" customFormat="1" ht="12.75" hidden="1" outlineLevel="1">
      <c r="A200" s="229" t="s">
        <v>1751</v>
      </c>
      <c r="B200" s="230"/>
      <c r="C200" s="230" t="s">
        <v>1752</v>
      </c>
      <c r="D200" s="230" t="s">
        <v>1753</v>
      </c>
      <c r="E200" s="230">
        <v>-932.16</v>
      </c>
      <c r="F200" s="230">
        <v>0</v>
      </c>
      <c r="G200" s="230"/>
      <c r="H200" s="229">
        <v>0</v>
      </c>
      <c r="I200" s="229">
        <v>0</v>
      </c>
      <c r="J200" s="229">
        <v>0</v>
      </c>
      <c r="K200" s="229">
        <v>0</v>
      </c>
      <c r="L200" s="229">
        <v>0</v>
      </c>
      <c r="M200" s="229">
        <v>0</v>
      </c>
      <c r="N200" s="229">
        <v>0</v>
      </c>
      <c r="O200" s="229">
        <v>0</v>
      </c>
      <c r="P200" s="230">
        <v>0</v>
      </c>
      <c r="Q200" s="230">
        <v>0</v>
      </c>
      <c r="R200" s="230">
        <f t="shared" si="8"/>
        <v>-932.16</v>
      </c>
      <c r="S200" s="229"/>
    </row>
    <row r="201" spans="1:19" s="231" customFormat="1" ht="12.75" hidden="1" outlineLevel="1">
      <c r="A201" s="229" t="s">
        <v>1754</v>
      </c>
      <c r="B201" s="230"/>
      <c r="C201" s="230" t="s">
        <v>1755</v>
      </c>
      <c r="D201" s="230" t="s">
        <v>1756</v>
      </c>
      <c r="E201" s="230">
        <v>35106.7</v>
      </c>
      <c r="F201" s="230">
        <v>0</v>
      </c>
      <c r="G201" s="230"/>
      <c r="H201" s="229">
        <v>0</v>
      </c>
      <c r="I201" s="229">
        <v>0</v>
      </c>
      <c r="J201" s="229">
        <v>0</v>
      </c>
      <c r="K201" s="229">
        <v>0</v>
      </c>
      <c r="L201" s="229">
        <v>0</v>
      </c>
      <c r="M201" s="229">
        <v>0</v>
      </c>
      <c r="N201" s="229">
        <v>0</v>
      </c>
      <c r="O201" s="229">
        <v>0</v>
      </c>
      <c r="P201" s="230">
        <v>0</v>
      </c>
      <c r="Q201" s="230">
        <v>0</v>
      </c>
      <c r="R201" s="230">
        <f t="shared" si="8"/>
        <v>35106.7</v>
      </c>
      <c r="S201" s="229"/>
    </row>
    <row r="202" spans="1:19" s="231" customFormat="1" ht="12.75" hidden="1" outlineLevel="1">
      <c r="A202" s="229" t="s">
        <v>1757</v>
      </c>
      <c r="B202" s="230"/>
      <c r="C202" s="230" t="s">
        <v>1758</v>
      </c>
      <c r="D202" s="230" t="s">
        <v>1759</v>
      </c>
      <c r="E202" s="230">
        <v>111144.2</v>
      </c>
      <c r="F202" s="230">
        <v>1218</v>
      </c>
      <c r="G202" s="230"/>
      <c r="H202" s="229">
        <v>0</v>
      </c>
      <c r="I202" s="229">
        <v>0</v>
      </c>
      <c r="J202" s="229">
        <v>0</v>
      </c>
      <c r="K202" s="229">
        <v>0</v>
      </c>
      <c r="L202" s="229">
        <v>0</v>
      </c>
      <c r="M202" s="229">
        <v>0</v>
      </c>
      <c r="N202" s="229">
        <v>0</v>
      </c>
      <c r="O202" s="229">
        <v>28500</v>
      </c>
      <c r="P202" s="230">
        <v>28500</v>
      </c>
      <c r="Q202" s="230">
        <v>0</v>
      </c>
      <c r="R202" s="230">
        <f t="shared" si="8"/>
        <v>140862.2</v>
      </c>
      <c r="S202" s="229"/>
    </row>
    <row r="203" spans="1:19" s="231" customFormat="1" ht="12.75" hidden="1" outlineLevel="1">
      <c r="A203" s="229" t="s">
        <v>1760</v>
      </c>
      <c r="B203" s="230"/>
      <c r="C203" s="230" t="s">
        <v>1761</v>
      </c>
      <c r="D203" s="230" t="s">
        <v>1762</v>
      </c>
      <c r="E203" s="230">
        <v>4844</v>
      </c>
      <c r="F203" s="230">
        <v>0</v>
      </c>
      <c r="G203" s="230"/>
      <c r="H203" s="229">
        <v>0</v>
      </c>
      <c r="I203" s="229">
        <v>0</v>
      </c>
      <c r="J203" s="229">
        <v>0</v>
      </c>
      <c r="K203" s="229">
        <v>0</v>
      </c>
      <c r="L203" s="229">
        <v>0</v>
      </c>
      <c r="M203" s="229">
        <v>0</v>
      </c>
      <c r="N203" s="229">
        <v>0</v>
      </c>
      <c r="O203" s="229">
        <v>0</v>
      </c>
      <c r="P203" s="230">
        <v>0</v>
      </c>
      <c r="Q203" s="230">
        <v>0</v>
      </c>
      <c r="R203" s="230">
        <f t="shared" si="8"/>
        <v>4844</v>
      </c>
      <c r="S203" s="229"/>
    </row>
    <row r="204" spans="1:19" s="231" customFormat="1" ht="12.75" hidden="1" outlineLevel="1">
      <c r="A204" s="229" t="s">
        <v>1763</v>
      </c>
      <c r="B204" s="230"/>
      <c r="C204" s="230" t="s">
        <v>1764</v>
      </c>
      <c r="D204" s="230" t="s">
        <v>1765</v>
      </c>
      <c r="E204" s="230">
        <v>610.45</v>
      </c>
      <c r="F204" s="230">
        <v>0</v>
      </c>
      <c r="G204" s="230"/>
      <c r="H204" s="229">
        <v>0</v>
      </c>
      <c r="I204" s="229">
        <v>0</v>
      </c>
      <c r="J204" s="229">
        <v>0</v>
      </c>
      <c r="K204" s="229">
        <v>0</v>
      </c>
      <c r="L204" s="229">
        <v>0</v>
      </c>
      <c r="M204" s="229">
        <v>0</v>
      </c>
      <c r="N204" s="229">
        <v>0</v>
      </c>
      <c r="O204" s="229">
        <v>0</v>
      </c>
      <c r="P204" s="230">
        <v>0</v>
      </c>
      <c r="Q204" s="230">
        <v>0</v>
      </c>
      <c r="R204" s="230">
        <f t="shared" si="8"/>
        <v>610.45</v>
      </c>
      <c r="S204" s="229"/>
    </row>
    <row r="205" spans="1:19" s="231" customFormat="1" ht="12.75" hidden="1" outlineLevel="1">
      <c r="A205" s="229" t="s">
        <v>1766</v>
      </c>
      <c r="B205" s="230"/>
      <c r="C205" s="230" t="s">
        <v>1767</v>
      </c>
      <c r="D205" s="230" t="s">
        <v>1768</v>
      </c>
      <c r="E205" s="230">
        <v>39654.85</v>
      </c>
      <c r="F205" s="230">
        <v>250</v>
      </c>
      <c r="G205" s="230"/>
      <c r="H205" s="229">
        <v>0</v>
      </c>
      <c r="I205" s="229">
        <v>0</v>
      </c>
      <c r="J205" s="229">
        <v>0</v>
      </c>
      <c r="K205" s="229">
        <v>0</v>
      </c>
      <c r="L205" s="229">
        <v>0</v>
      </c>
      <c r="M205" s="229">
        <v>0</v>
      </c>
      <c r="N205" s="229">
        <v>0</v>
      </c>
      <c r="O205" s="229">
        <v>8842.5</v>
      </c>
      <c r="P205" s="230">
        <v>8842.5</v>
      </c>
      <c r="Q205" s="230">
        <v>0</v>
      </c>
      <c r="R205" s="230">
        <f t="shared" si="8"/>
        <v>48747.35</v>
      </c>
      <c r="S205" s="229"/>
    </row>
    <row r="206" spans="1:19" s="231" customFormat="1" ht="12.75" hidden="1" outlineLevel="1">
      <c r="A206" s="229" t="s">
        <v>1769</v>
      </c>
      <c r="B206" s="230"/>
      <c r="C206" s="230" t="s">
        <v>1770</v>
      </c>
      <c r="D206" s="230" t="s">
        <v>1771</v>
      </c>
      <c r="E206" s="230">
        <v>227896.91</v>
      </c>
      <c r="F206" s="230">
        <v>105.03</v>
      </c>
      <c r="G206" s="230"/>
      <c r="H206" s="229">
        <v>0</v>
      </c>
      <c r="I206" s="229">
        <v>5522</v>
      </c>
      <c r="J206" s="229">
        <v>0</v>
      </c>
      <c r="K206" s="229">
        <v>4200.27</v>
      </c>
      <c r="L206" s="229">
        <v>0</v>
      </c>
      <c r="M206" s="229">
        <v>90</v>
      </c>
      <c r="N206" s="229">
        <v>0</v>
      </c>
      <c r="O206" s="229">
        <v>6144.39</v>
      </c>
      <c r="P206" s="230">
        <v>15956.66</v>
      </c>
      <c r="Q206" s="230">
        <v>0</v>
      </c>
      <c r="R206" s="230">
        <f t="shared" si="8"/>
        <v>243958.6</v>
      </c>
      <c r="S206" s="229"/>
    </row>
    <row r="207" spans="1:19" s="231" customFormat="1" ht="12.75" hidden="1" outlineLevel="1">
      <c r="A207" s="229" t="s">
        <v>1772</v>
      </c>
      <c r="B207" s="230"/>
      <c r="C207" s="230" t="s">
        <v>1773</v>
      </c>
      <c r="D207" s="230" t="s">
        <v>1774</v>
      </c>
      <c r="E207" s="230">
        <v>9142.98</v>
      </c>
      <c r="F207" s="230">
        <v>0</v>
      </c>
      <c r="G207" s="230"/>
      <c r="H207" s="229">
        <v>0</v>
      </c>
      <c r="I207" s="229">
        <v>0</v>
      </c>
      <c r="J207" s="229">
        <v>0</v>
      </c>
      <c r="K207" s="229">
        <v>0</v>
      </c>
      <c r="L207" s="229">
        <v>0</v>
      </c>
      <c r="M207" s="229">
        <v>0</v>
      </c>
      <c r="N207" s="229">
        <v>0</v>
      </c>
      <c r="O207" s="229">
        <v>0</v>
      </c>
      <c r="P207" s="230">
        <v>0</v>
      </c>
      <c r="Q207" s="230">
        <v>0</v>
      </c>
      <c r="R207" s="230">
        <f t="shared" si="8"/>
        <v>9142.98</v>
      </c>
      <c r="S207" s="229"/>
    </row>
    <row r="208" spans="1:19" s="231" customFormat="1" ht="12.75" hidden="1" outlineLevel="1">
      <c r="A208" s="229" t="s">
        <v>1775</v>
      </c>
      <c r="B208" s="230"/>
      <c r="C208" s="230" t="s">
        <v>1776</v>
      </c>
      <c r="D208" s="230" t="s">
        <v>1777</v>
      </c>
      <c r="E208" s="230">
        <v>148607.63</v>
      </c>
      <c r="F208" s="230">
        <v>1833.72</v>
      </c>
      <c r="G208" s="230"/>
      <c r="H208" s="229">
        <v>0</v>
      </c>
      <c r="I208" s="229">
        <v>0</v>
      </c>
      <c r="J208" s="229">
        <v>0</v>
      </c>
      <c r="K208" s="229">
        <v>0</v>
      </c>
      <c r="L208" s="229">
        <v>0</v>
      </c>
      <c r="M208" s="229">
        <v>129.69</v>
      </c>
      <c r="N208" s="229">
        <v>0</v>
      </c>
      <c r="O208" s="229">
        <v>13902.34</v>
      </c>
      <c r="P208" s="230">
        <v>14032.03</v>
      </c>
      <c r="Q208" s="230">
        <v>0</v>
      </c>
      <c r="R208" s="230">
        <f t="shared" si="8"/>
        <v>164473.38</v>
      </c>
      <c r="S208" s="229"/>
    </row>
    <row r="209" spans="1:19" s="231" customFormat="1" ht="12.75" hidden="1" outlineLevel="1">
      <c r="A209" s="229" t="s">
        <v>1778</v>
      </c>
      <c r="B209" s="230"/>
      <c r="C209" s="230" t="s">
        <v>1779</v>
      </c>
      <c r="D209" s="230" t="s">
        <v>1780</v>
      </c>
      <c r="E209" s="230">
        <v>523368.66</v>
      </c>
      <c r="F209" s="230">
        <v>3047.5</v>
      </c>
      <c r="G209" s="230"/>
      <c r="H209" s="229">
        <v>0</v>
      </c>
      <c r="I209" s="229">
        <v>300</v>
      </c>
      <c r="J209" s="229">
        <v>0</v>
      </c>
      <c r="K209" s="229">
        <v>-395.52</v>
      </c>
      <c r="L209" s="229">
        <v>0</v>
      </c>
      <c r="M209" s="229">
        <v>149</v>
      </c>
      <c r="N209" s="229">
        <v>0</v>
      </c>
      <c r="O209" s="229">
        <v>3494.08</v>
      </c>
      <c r="P209" s="230">
        <v>3547.56</v>
      </c>
      <c r="Q209" s="230">
        <v>0</v>
      </c>
      <c r="R209" s="230">
        <f t="shared" si="8"/>
        <v>529963.72</v>
      </c>
      <c r="S209" s="229"/>
    </row>
    <row r="210" spans="1:19" s="231" customFormat="1" ht="12.75" hidden="1" outlineLevel="1">
      <c r="A210" s="229" t="s">
        <v>1781</v>
      </c>
      <c r="B210" s="230"/>
      <c r="C210" s="230" t="s">
        <v>1782</v>
      </c>
      <c r="D210" s="230" t="s">
        <v>1783</v>
      </c>
      <c r="E210" s="230">
        <v>40279.72</v>
      </c>
      <c r="F210" s="230">
        <v>2299.92</v>
      </c>
      <c r="G210" s="230"/>
      <c r="H210" s="229">
        <v>12556.87</v>
      </c>
      <c r="I210" s="229">
        <v>0</v>
      </c>
      <c r="J210" s="229">
        <v>0</v>
      </c>
      <c r="K210" s="229">
        <v>6338.1</v>
      </c>
      <c r="L210" s="229">
        <v>0</v>
      </c>
      <c r="M210" s="229">
        <v>0</v>
      </c>
      <c r="N210" s="229">
        <v>0</v>
      </c>
      <c r="O210" s="229">
        <v>45817.96</v>
      </c>
      <c r="P210" s="230">
        <v>64712.93</v>
      </c>
      <c r="Q210" s="230">
        <v>0</v>
      </c>
      <c r="R210" s="230">
        <f t="shared" si="8"/>
        <v>107292.57</v>
      </c>
      <c r="S210" s="229"/>
    </row>
    <row r="211" spans="1:19" s="231" customFormat="1" ht="12.75" hidden="1" outlineLevel="1">
      <c r="A211" s="229" t="s">
        <v>1787</v>
      </c>
      <c r="B211" s="230"/>
      <c r="C211" s="230" t="s">
        <v>1788</v>
      </c>
      <c r="D211" s="230" t="s">
        <v>1789</v>
      </c>
      <c r="E211" s="230">
        <v>39161.55</v>
      </c>
      <c r="F211" s="230">
        <v>500</v>
      </c>
      <c r="G211" s="230"/>
      <c r="H211" s="229">
        <v>0</v>
      </c>
      <c r="I211" s="229">
        <v>0</v>
      </c>
      <c r="J211" s="229">
        <v>0</v>
      </c>
      <c r="K211" s="229">
        <v>0</v>
      </c>
      <c r="L211" s="229">
        <v>0</v>
      </c>
      <c r="M211" s="229">
        <v>0</v>
      </c>
      <c r="N211" s="229">
        <v>0</v>
      </c>
      <c r="O211" s="229">
        <v>13700</v>
      </c>
      <c r="P211" s="230">
        <v>13700</v>
      </c>
      <c r="Q211" s="230">
        <v>0</v>
      </c>
      <c r="R211" s="230">
        <f t="shared" si="8"/>
        <v>53361.55</v>
      </c>
      <c r="S211" s="229"/>
    </row>
    <row r="212" spans="1:19" s="231" customFormat="1" ht="12.75" hidden="1" outlineLevel="1">
      <c r="A212" s="229" t="s">
        <v>1790</v>
      </c>
      <c r="B212" s="230"/>
      <c r="C212" s="230" t="s">
        <v>1791</v>
      </c>
      <c r="D212" s="230" t="s">
        <v>1792</v>
      </c>
      <c r="E212" s="230">
        <v>50728.96</v>
      </c>
      <c r="F212" s="230">
        <v>8940</v>
      </c>
      <c r="G212" s="230"/>
      <c r="H212" s="229">
        <v>0</v>
      </c>
      <c r="I212" s="229">
        <v>0</v>
      </c>
      <c r="J212" s="229">
        <v>0</v>
      </c>
      <c r="K212" s="229">
        <v>0</v>
      </c>
      <c r="L212" s="229">
        <v>0</v>
      </c>
      <c r="M212" s="229">
        <v>0</v>
      </c>
      <c r="N212" s="229">
        <v>0</v>
      </c>
      <c r="O212" s="229">
        <v>35822.69</v>
      </c>
      <c r="P212" s="230">
        <v>35822.69</v>
      </c>
      <c r="Q212" s="230">
        <v>0</v>
      </c>
      <c r="R212" s="230">
        <f t="shared" si="8"/>
        <v>95491.65</v>
      </c>
      <c r="S212" s="229"/>
    </row>
    <row r="213" spans="1:19" s="231" customFormat="1" ht="12.75" hidden="1" outlineLevel="1">
      <c r="A213" s="229" t="s">
        <v>1793</v>
      </c>
      <c r="B213" s="230"/>
      <c r="C213" s="230" t="s">
        <v>1794</v>
      </c>
      <c r="D213" s="230" t="s">
        <v>1795</v>
      </c>
      <c r="E213" s="230">
        <v>1070270.84</v>
      </c>
      <c r="F213" s="230">
        <v>1159</v>
      </c>
      <c r="G213" s="230"/>
      <c r="H213" s="229">
        <v>2703</v>
      </c>
      <c r="I213" s="229">
        <v>3553.9</v>
      </c>
      <c r="J213" s="229">
        <v>0</v>
      </c>
      <c r="K213" s="229">
        <v>2579.82</v>
      </c>
      <c r="L213" s="229">
        <v>0</v>
      </c>
      <c r="M213" s="229">
        <v>0</v>
      </c>
      <c r="N213" s="229">
        <v>0</v>
      </c>
      <c r="O213" s="229">
        <v>103932.68</v>
      </c>
      <c r="P213" s="230">
        <v>112769.4</v>
      </c>
      <c r="Q213" s="230">
        <v>0</v>
      </c>
      <c r="R213" s="230">
        <f t="shared" si="8"/>
        <v>1184199.24</v>
      </c>
      <c r="S213" s="229"/>
    </row>
    <row r="214" spans="1:19" s="231" customFormat="1" ht="12.75" hidden="1" outlineLevel="1">
      <c r="A214" s="229" t="s">
        <v>1796</v>
      </c>
      <c r="B214" s="230"/>
      <c r="C214" s="230" t="s">
        <v>1797</v>
      </c>
      <c r="D214" s="230" t="s">
        <v>1798</v>
      </c>
      <c r="E214" s="230">
        <v>6160.23</v>
      </c>
      <c r="F214" s="230">
        <v>0</v>
      </c>
      <c r="G214" s="230"/>
      <c r="H214" s="229">
        <v>0</v>
      </c>
      <c r="I214" s="229">
        <v>0</v>
      </c>
      <c r="J214" s="229">
        <v>0</v>
      </c>
      <c r="K214" s="229">
        <v>0</v>
      </c>
      <c r="L214" s="229">
        <v>0</v>
      </c>
      <c r="M214" s="229">
        <v>0</v>
      </c>
      <c r="N214" s="229">
        <v>0</v>
      </c>
      <c r="O214" s="229">
        <v>0</v>
      </c>
      <c r="P214" s="230">
        <v>0</v>
      </c>
      <c r="Q214" s="230">
        <v>0</v>
      </c>
      <c r="R214" s="230">
        <f t="shared" si="8"/>
        <v>6160.23</v>
      </c>
      <c r="S214" s="229"/>
    </row>
    <row r="215" spans="1:19" s="231" customFormat="1" ht="12.75" hidden="1" outlineLevel="1">
      <c r="A215" s="229" t="s">
        <v>1799</v>
      </c>
      <c r="B215" s="230"/>
      <c r="C215" s="230" t="s">
        <v>1800</v>
      </c>
      <c r="D215" s="230" t="s">
        <v>1801</v>
      </c>
      <c r="E215" s="230">
        <v>27971.37</v>
      </c>
      <c r="F215" s="230">
        <v>0</v>
      </c>
      <c r="G215" s="230"/>
      <c r="H215" s="229">
        <v>0</v>
      </c>
      <c r="I215" s="229">
        <v>0</v>
      </c>
      <c r="J215" s="229">
        <v>0</v>
      </c>
      <c r="K215" s="229">
        <v>34.01</v>
      </c>
      <c r="L215" s="229">
        <v>0</v>
      </c>
      <c r="M215" s="229">
        <v>0</v>
      </c>
      <c r="N215" s="229">
        <v>0</v>
      </c>
      <c r="O215" s="229">
        <v>169659.96</v>
      </c>
      <c r="P215" s="230">
        <v>169693.97</v>
      </c>
      <c r="Q215" s="230">
        <v>0</v>
      </c>
      <c r="R215" s="230">
        <f t="shared" si="8"/>
        <v>197665.34</v>
      </c>
      <c r="S215" s="229"/>
    </row>
    <row r="216" spans="1:19" s="231" customFormat="1" ht="12.75" hidden="1" outlineLevel="1">
      <c r="A216" s="229" t="s">
        <v>1802</v>
      </c>
      <c r="B216" s="230"/>
      <c r="C216" s="230" t="s">
        <v>1803</v>
      </c>
      <c r="D216" s="230" t="s">
        <v>1804</v>
      </c>
      <c r="E216" s="230">
        <v>133370.21</v>
      </c>
      <c r="F216" s="230">
        <v>348.89</v>
      </c>
      <c r="G216" s="230"/>
      <c r="H216" s="229">
        <v>19458</v>
      </c>
      <c r="I216" s="229">
        <v>0</v>
      </c>
      <c r="J216" s="229">
        <v>0</v>
      </c>
      <c r="K216" s="229">
        <v>1004.54</v>
      </c>
      <c r="L216" s="229">
        <v>0</v>
      </c>
      <c r="M216" s="229">
        <v>0</v>
      </c>
      <c r="N216" s="229">
        <v>0</v>
      </c>
      <c r="O216" s="229">
        <v>73502.27</v>
      </c>
      <c r="P216" s="230">
        <v>93964.81</v>
      </c>
      <c r="Q216" s="230">
        <v>0</v>
      </c>
      <c r="R216" s="230">
        <f t="shared" si="8"/>
        <v>227683.91</v>
      </c>
      <c r="S216" s="229"/>
    </row>
    <row r="217" spans="1:19" s="231" customFormat="1" ht="12.75" hidden="1" outlineLevel="1">
      <c r="A217" s="229" t="s">
        <v>1805</v>
      </c>
      <c r="B217" s="230"/>
      <c r="C217" s="230" t="s">
        <v>1806</v>
      </c>
      <c r="D217" s="230" t="s">
        <v>1807</v>
      </c>
      <c r="E217" s="230">
        <v>36486.58</v>
      </c>
      <c r="F217" s="230">
        <v>0</v>
      </c>
      <c r="G217" s="230"/>
      <c r="H217" s="229">
        <v>0</v>
      </c>
      <c r="I217" s="229">
        <v>0</v>
      </c>
      <c r="J217" s="229">
        <v>0</v>
      </c>
      <c r="K217" s="229">
        <v>0</v>
      </c>
      <c r="L217" s="229">
        <v>0</v>
      </c>
      <c r="M217" s="229">
        <v>0</v>
      </c>
      <c r="N217" s="229">
        <v>0</v>
      </c>
      <c r="O217" s="229">
        <v>0</v>
      </c>
      <c r="P217" s="230">
        <v>0</v>
      </c>
      <c r="Q217" s="230">
        <v>0</v>
      </c>
      <c r="R217" s="230">
        <f t="shared" si="8"/>
        <v>36486.58</v>
      </c>
      <c r="S217" s="229"/>
    </row>
    <row r="218" spans="1:19" s="231" customFormat="1" ht="12.75" hidden="1" outlineLevel="1">
      <c r="A218" s="229" t="s">
        <v>1808</v>
      </c>
      <c r="B218" s="230"/>
      <c r="C218" s="230" t="s">
        <v>1809</v>
      </c>
      <c r="D218" s="230" t="s">
        <v>1810</v>
      </c>
      <c r="E218" s="230">
        <v>96524.45</v>
      </c>
      <c r="F218" s="230">
        <v>0</v>
      </c>
      <c r="G218" s="230"/>
      <c r="H218" s="229">
        <v>0</v>
      </c>
      <c r="I218" s="229">
        <v>0</v>
      </c>
      <c r="J218" s="229">
        <v>0</v>
      </c>
      <c r="K218" s="229">
        <v>0</v>
      </c>
      <c r="L218" s="229">
        <v>0</v>
      </c>
      <c r="M218" s="229">
        <v>0</v>
      </c>
      <c r="N218" s="229">
        <v>0</v>
      </c>
      <c r="O218" s="229">
        <v>0</v>
      </c>
      <c r="P218" s="230">
        <v>0</v>
      </c>
      <c r="Q218" s="230">
        <v>0</v>
      </c>
      <c r="R218" s="230">
        <f t="shared" si="8"/>
        <v>96524.45</v>
      </c>
      <c r="S218" s="229"/>
    </row>
    <row r="219" spans="1:19" s="231" customFormat="1" ht="12.75" hidden="1" outlineLevel="1">
      <c r="A219" s="229" t="s">
        <v>1811</v>
      </c>
      <c r="B219" s="230"/>
      <c r="C219" s="230" t="s">
        <v>1812</v>
      </c>
      <c r="D219" s="230" t="s">
        <v>1813</v>
      </c>
      <c r="E219" s="230">
        <v>224399.21</v>
      </c>
      <c r="F219" s="230">
        <v>-79.99</v>
      </c>
      <c r="G219" s="230"/>
      <c r="H219" s="229">
        <v>118550.83</v>
      </c>
      <c r="I219" s="229">
        <v>0</v>
      </c>
      <c r="J219" s="229">
        <v>0</v>
      </c>
      <c r="K219" s="229">
        <v>0</v>
      </c>
      <c r="L219" s="229">
        <v>0</v>
      </c>
      <c r="M219" s="229">
        <v>0</v>
      </c>
      <c r="N219" s="229">
        <v>0</v>
      </c>
      <c r="O219" s="229">
        <v>7106.07</v>
      </c>
      <c r="P219" s="230">
        <v>125656.9</v>
      </c>
      <c r="Q219" s="230">
        <v>0</v>
      </c>
      <c r="R219" s="230">
        <f t="shared" si="8"/>
        <v>349976.12</v>
      </c>
      <c r="S219" s="229"/>
    </row>
    <row r="220" spans="1:19" s="231" customFormat="1" ht="12.75" hidden="1" outlineLevel="1">
      <c r="A220" s="229" t="s">
        <v>1814</v>
      </c>
      <c r="B220" s="230"/>
      <c r="C220" s="230" t="s">
        <v>1815</v>
      </c>
      <c r="D220" s="230" t="s">
        <v>1816</v>
      </c>
      <c r="E220" s="230">
        <v>4856.44</v>
      </c>
      <c r="F220" s="230">
        <v>0</v>
      </c>
      <c r="G220" s="230"/>
      <c r="H220" s="229">
        <v>0</v>
      </c>
      <c r="I220" s="229">
        <v>0</v>
      </c>
      <c r="J220" s="229">
        <v>0</v>
      </c>
      <c r="K220" s="229">
        <v>0</v>
      </c>
      <c r="L220" s="229">
        <v>0</v>
      </c>
      <c r="M220" s="229">
        <v>0</v>
      </c>
      <c r="N220" s="229">
        <v>0</v>
      </c>
      <c r="O220" s="229">
        <v>0</v>
      </c>
      <c r="P220" s="230">
        <v>0</v>
      </c>
      <c r="Q220" s="230">
        <v>0</v>
      </c>
      <c r="R220" s="230">
        <f t="shared" si="8"/>
        <v>4856.44</v>
      </c>
      <c r="S220" s="229"/>
    </row>
    <row r="221" spans="1:19" s="231" customFormat="1" ht="12.75" hidden="1" outlineLevel="1">
      <c r="A221" s="229" t="s">
        <v>1823</v>
      </c>
      <c r="B221" s="230"/>
      <c r="C221" s="230" t="s">
        <v>1824</v>
      </c>
      <c r="D221" s="230" t="s">
        <v>1825</v>
      </c>
      <c r="E221" s="230">
        <v>9565.51</v>
      </c>
      <c r="F221" s="230">
        <v>106.93</v>
      </c>
      <c r="G221" s="230"/>
      <c r="H221" s="229">
        <v>0</v>
      </c>
      <c r="I221" s="229">
        <v>0</v>
      </c>
      <c r="J221" s="229">
        <v>0</v>
      </c>
      <c r="K221" s="229">
        <v>774.66</v>
      </c>
      <c r="L221" s="229">
        <v>0</v>
      </c>
      <c r="M221" s="229">
        <v>0</v>
      </c>
      <c r="N221" s="229">
        <v>0</v>
      </c>
      <c r="O221" s="229">
        <v>1722.1</v>
      </c>
      <c r="P221" s="230">
        <v>2496.76</v>
      </c>
      <c r="Q221" s="230">
        <v>0</v>
      </c>
      <c r="R221" s="230">
        <f t="shared" si="8"/>
        <v>12169.2</v>
      </c>
      <c r="S221" s="229"/>
    </row>
    <row r="222" spans="1:19" s="231" customFormat="1" ht="12.75" hidden="1" outlineLevel="1">
      <c r="A222" s="229" t="s">
        <v>1835</v>
      </c>
      <c r="B222" s="230"/>
      <c r="C222" s="230" t="s">
        <v>1836</v>
      </c>
      <c r="D222" s="230" t="s">
        <v>1837</v>
      </c>
      <c r="E222" s="230">
        <v>12290.81</v>
      </c>
      <c r="F222" s="230">
        <v>0</v>
      </c>
      <c r="G222" s="230"/>
      <c r="H222" s="229">
        <v>0</v>
      </c>
      <c r="I222" s="229">
        <v>0</v>
      </c>
      <c r="J222" s="229">
        <v>0</v>
      </c>
      <c r="K222" s="229">
        <v>0</v>
      </c>
      <c r="L222" s="229">
        <v>0</v>
      </c>
      <c r="M222" s="229">
        <v>0</v>
      </c>
      <c r="N222" s="229">
        <v>0</v>
      </c>
      <c r="O222" s="229">
        <v>0</v>
      </c>
      <c r="P222" s="230">
        <v>0</v>
      </c>
      <c r="Q222" s="230">
        <v>0</v>
      </c>
      <c r="R222" s="230">
        <f t="shared" si="8"/>
        <v>12290.81</v>
      </c>
      <c r="S222" s="229"/>
    </row>
    <row r="223" spans="1:19" s="231" customFormat="1" ht="12.75" hidden="1" outlineLevel="1">
      <c r="A223" s="229" t="s">
        <v>1838</v>
      </c>
      <c r="B223" s="230"/>
      <c r="C223" s="230" t="s">
        <v>1839</v>
      </c>
      <c r="D223" s="230" t="s">
        <v>1840</v>
      </c>
      <c r="E223" s="230">
        <v>3141</v>
      </c>
      <c r="F223" s="230">
        <v>0</v>
      </c>
      <c r="G223" s="230"/>
      <c r="H223" s="229">
        <v>0</v>
      </c>
      <c r="I223" s="229">
        <v>0</v>
      </c>
      <c r="J223" s="229">
        <v>0</v>
      </c>
      <c r="K223" s="229">
        <v>0</v>
      </c>
      <c r="L223" s="229">
        <v>0</v>
      </c>
      <c r="M223" s="229">
        <v>0</v>
      </c>
      <c r="N223" s="229">
        <v>0</v>
      </c>
      <c r="O223" s="229">
        <v>0</v>
      </c>
      <c r="P223" s="230">
        <v>0</v>
      </c>
      <c r="Q223" s="230">
        <v>0</v>
      </c>
      <c r="R223" s="230">
        <f t="shared" si="8"/>
        <v>3141</v>
      </c>
      <c r="S223" s="229"/>
    </row>
    <row r="224" spans="1:19" s="231" customFormat="1" ht="12.75" hidden="1" outlineLevel="1">
      <c r="A224" s="229" t="s">
        <v>1841</v>
      </c>
      <c r="B224" s="230"/>
      <c r="C224" s="230" t="s">
        <v>1842</v>
      </c>
      <c r="D224" s="230" t="s">
        <v>1843</v>
      </c>
      <c r="E224" s="230">
        <v>678882.82</v>
      </c>
      <c r="F224" s="230">
        <v>9526.71</v>
      </c>
      <c r="G224" s="230"/>
      <c r="H224" s="229">
        <v>4385361.23</v>
      </c>
      <c r="I224" s="229">
        <v>9140</v>
      </c>
      <c r="J224" s="229">
        <v>0</v>
      </c>
      <c r="K224" s="229">
        <v>46.92</v>
      </c>
      <c r="L224" s="229">
        <v>10408.4</v>
      </c>
      <c r="M224" s="229">
        <v>48.3</v>
      </c>
      <c r="N224" s="229">
        <v>0</v>
      </c>
      <c r="O224" s="229">
        <v>30335.11</v>
      </c>
      <c r="P224" s="230">
        <v>4435339.96</v>
      </c>
      <c r="Q224" s="230">
        <v>0</v>
      </c>
      <c r="R224" s="230">
        <f t="shared" si="8"/>
        <v>5123749.49</v>
      </c>
      <c r="S224" s="229"/>
    </row>
    <row r="225" spans="1:19" s="231" customFormat="1" ht="12.75" hidden="1" outlineLevel="1">
      <c r="A225" s="229" t="s">
        <v>1844</v>
      </c>
      <c r="B225" s="230"/>
      <c r="C225" s="230" t="s">
        <v>1845</v>
      </c>
      <c r="D225" s="230" t="s">
        <v>1846</v>
      </c>
      <c r="E225" s="230">
        <v>-0.63</v>
      </c>
      <c r="F225" s="230">
        <v>0</v>
      </c>
      <c r="G225" s="230"/>
      <c r="H225" s="229">
        <v>0</v>
      </c>
      <c r="I225" s="229">
        <v>0</v>
      </c>
      <c r="J225" s="229">
        <v>0</v>
      </c>
      <c r="K225" s="229">
        <v>0</v>
      </c>
      <c r="L225" s="229">
        <v>0</v>
      </c>
      <c r="M225" s="229">
        <v>0</v>
      </c>
      <c r="N225" s="229">
        <v>0</v>
      </c>
      <c r="O225" s="229">
        <v>0</v>
      </c>
      <c r="P225" s="230">
        <v>0</v>
      </c>
      <c r="Q225" s="230">
        <v>0</v>
      </c>
      <c r="R225" s="230">
        <f aca="true" t="shared" si="9" ref="R225:R256">E225+F225+G225+P225+Q225</f>
        <v>-0.63</v>
      </c>
      <c r="S225" s="229"/>
    </row>
    <row r="226" spans="1:19" s="231" customFormat="1" ht="12.75" hidden="1" outlineLevel="1">
      <c r="A226" s="229" t="s">
        <v>1850</v>
      </c>
      <c r="B226" s="230"/>
      <c r="C226" s="230" t="s">
        <v>1851</v>
      </c>
      <c r="D226" s="230" t="s">
        <v>1852</v>
      </c>
      <c r="E226" s="230">
        <v>47343.94</v>
      </c>
      <c r="F226" s="230">
        <v>0</v>
      </c>
      <c r="G226" s="230"/>
      <c r="H226" s="229">
        <v>0</v>
      </c>
      <c r="I226" s="229">
        <v>0</v>
      </c>
      <c r="J226" s="229">
        <v>0</v>
      </c>
      <c r="K226" s="229">
        <v>0</v>
      </c>
      <c r="L226" s="229">
        <v>0</v>
      </c>
      <c r="M226" s="229">
        <v>0</v>
      </c>
      <c r="N226" s="229">
        <v>0</v>
      </c>
      <c r="O226" s="229">
        <v>0</v>
      </c>
      <c r="P226" s="230">
        <v>0</v>
      </c>
      <c r="Q226" s="230">
        <v>0</v>
      </c>
      <c r="R226" s="230">
        <f t="shared" si="9"/>
        <v>47343.94</v>
      </c>
      <c r="S226" s="229"/>
    </row>
    <row r="227" spans="1:19" s="231" customFormat="1" ht="12.75" hidden="1" outlineLevel="1">
      <c r="A227" s="229" t="s">
        <v>1853</v>
      </c>
      <c r="B227" s="230"/>
      <c r="C227" s="230" t="s">
        <v>1854</v>
      </c>
      <c r="D227" s="230" t="s">
        <v>1855</v>
      </c>
      <c r="E227" s="230">
        <v>500</v>
      </c>
      <c r="F227" s="230">
        <v>0</v>
      </c>
      <c r="G227" s="230"/>
      <c r="H227" s="229">
        <v>0</v>
      </c>
      <c r="I227" s="229">
        <v>0</v>
      </c>
      <c r="J227" s="229">
        <v>0</v>
      </c>
      <c r="K227" s="229">
        <v>0</v>
      </c>
      <c r="L227" s="229">
        <v>0</v>
      </c>
      <c r="M227" s="229">
        <v>0</v>
      </c>
      <c r="N227" s="229">
        <v>0</v>
      </c>
      <c r="O227" s="229">
        <v>0</v>
      </c>
      <c r="P227" s="230">
        <v>0</v>
      </c>
      <c r="Q227" s="230">
        <v>0</v>
      </c>
      <c r="R227" s="230">
        <f t="shared" si="9"/>
        <v>500</v>
      </c>
      <c r="S227" s="229"/>
    </row>
    <row r="228" spans="1:19" s="231" customFormat="1" ht="12.75" hidden="1" outlineLevel="1">
      <c r="A228" s="229" t="s">
        <v>1859</v>
      </c>
      <c r="B228" s="230"/>
      <c r="C228" s="230" t="s">
        <v>1860</v>
      </c>
      <c r="D228" s="230" t="s">
        <v>1861</v>
      </c>
      <c r="E228" s="230">
        <v>2955.36</v>
      </c>
      <c r="F228" s="230">
        <v>50</v>
      </c>
      <c r="G228" s="230"/>
      <c r="H228" s="229">
        <v>50</v>
      </c>
      <c r="I228" s="229">
        <v>0</v>
      </c>
      <c r="J228" s="229">
        <v>0</v>
      </c>
      <c r="K228" s="229">
        <v>0</v>
      </c>
      <c r="L228" s="229">
        <v>0</v>
      </c>
      <c r="M228" s="229">
        <v>0</v>
      </c>
      <c r="N228" s="229">
        <v>0</v>
      </c>
      <c r="O228" s="229">
        <v>0</v>
      </c>
      <c r="P228" s="230">
        <v>50</v>
      </c>
      <c r="Q228" s="230">
        <v>0</v>
      </c>
      <c r="R228" s="230">
        <f t="shared" si="9"/>
        <v>3055.36</v>
      </c>
      <c r="S228" s="229"/>
    </row>
    <row r="229" spans="1:19" s="231" customFormat="1" ht="12.75" hidden="1" outlineLevel="1">
      <c r="A229" s="229" t="s">
        <v>1862</v>
      </c>
      <c r="B229" s="230"/>
      <c r="C229" s="230" t="s">
        <v>1863</v>
      </c>
      <c r="D229" s="230" t="s">
        <v>1864</v>
      </c>
      <c r="E229" s="230">
        <v>1025.59</v>
      </c>
      <c r="F229" s="230">
        <v>0</v>
      </c>
      <c r="G229" s="230"/>
      <c r="H229" s="229">
        <v>0</v>
      </c>
      <c r="I229" s="229">
        <v>0</v>
      </c>
      <c r="J229" s="229">
        <v>0</v>
      </c>
      <c r="K229" s="229">
        <v>0</v>
      </c>
      <c r="L229" s="229">
        <v>0</v>
      </c>
      <c r="M229" s="229">
        <v>0</v>
      </c>
      <c r="N229" s="229">
        <v>0</v>
      </c>
      <c r="O229" s="229">
        <v>0</v>
      </c>
      <c r="P229" s="230">
        <v>0</v>
      </c>
      <c r="Q229" s="230">
        <v>0</v>
      </c>
      <c r="R229" s="230">
        <f t="shared" si="9"/>
        <v>1025.59</v>
      </c>
      <c r="S229" s="229"/>
    </row>
    <row r="230" spans="1:19" s="231" customFormat="1" ht="12.75" hidden="1" outlineLevel="1">
      <c r="A230" s="229" t="s">
        <v>1865</v>
      </c>
      <c r="B230" s="230"/>
      <c r="C230" s="230" t="s">
        <v>1866</v>
      </c>
      <c r="D230" s="230" t="s">
        <v>1867</v>
      </c>
      <c r="E230" s="230">
        <v>39409.94</v>
      </c>
      <c r="F230" s="230">
        <v>0</v>
      </c>
      <c r="G230" s="230"/>
      <c r="H230" s="229">
        <v>0</v>
      </c>
      <c r="I230" s="229">
        <v>0</v>
      </c>
      <c r="J230" s="229">
        <v>0</v>
      </c>
      <c r="K230" s="229">
        <v>0</v>
      </c>
      <c r="L230" s="229">
        <v>0</v>
      </c>
      <c r="M230" s="229">
        <v>0</v>
      </c>
      <c r="N230" s="229">
        <v>0</v>
      </c>
      <c r="O230" s="229">
        <v>228.95</v>
      </c>
      <c r="P230" s="230">
        <v>228.95</v>
      </c>
      <c r="Q230" s="230">
        <v>0</v>
      </c>
      <c r="R230" s="230">
        <f t="shared" si="9"/>
        <v>39638.89</v>
      </c>
      <c r="S230" s="229"/>
    </row>
    <row r="231" spans="1:19" s="231" customFormat="1" ht="12.75" hidden="1" outlineLevel="1">
      <c r="A231" s="229" t="s">
        <v>1871</v>
      </c>
      <c r="B231" s="230"/>
      <c r="C231" s="230" t="s">
        <v>1872</v>
      </c>
      <c r="D231" s="230" t="s">
        <v>1873</v>
      </c>
      <c r="E231" s="230">
        <v>0</v>
      </c>
      <c r="F231" s="230">
        <v>4385.21</v>
      </c>
      <c r="G231" s="230"/>
      <c r="H231" s="229">
        <v>0</v>
      </c>
      <c r="I231" s="229">
        <v>0</v>
      </c>
      <c r="J231" s="229">
        <v>0</v>
      </c>
      <c r="K231" s="229">
        <v>0</v>
      </c>
      <c r="L231" s="229">
        <v>0</v>
      </c>
      <c r="M231" s="229">
        <v>0</v>
      </c>
      <c r="N231" s="229">
        <v>0</v>
      </c>
      <c r="O231" s="229">
        <v>0</v>
      </c>
      <c r="P231" s="230">
        <v>0</v>
      </c>
      <c r="Q231" s="230">
        <v>0</v>
      </c>
      <c r="R231" s="230">
        <f t="shared" si="9"/>
        <v>4385.21</v>
      </c>
      <c r="S231" s="229"/>
    </row>
    <row r="232" spans="1:19" s="231" customFormat="1" ht="12.75" hidden="1" outlineLevel="1">
      <c r="A232" s="229" t="s">
        <v>1874</v>
      </c>
      <c r="B232" s="230"/>
      <c r="C232" s="230" t="s">
        <v>1875</v>
      </c>
      <c r="D232" s="230" t="s">
        <v>1876</v>
      </c>
      <c r="E232" s="230">
        <v>135663.93</v>
      </c>
      <c r="F232" s="230">
        <v>0</v>
      </c>
      <c r="G232" s="230"/>
      <c r="H232" s="229">
        <v>0</v>
      </c>
      <c r="I232" s="229">
        <v>0</v>
      </c>
      <c r="J232" s="229">
        <v>0</v>
      </c>
      <c r="K232" s="229">
        <v>0</v>
      </c>
      <c r="L232" s="229">
        <v>0</v>
      </c>
      <c r="M232" s="229">
        <v>0</v>
      </c>
      <c r="N232" s="229">
        <v>0</v>
      </c>
      <c r="O232" s="229">
        <v>0</v>
      </c>
      <c r="P232" s="230">
        <v>0</v>
      </c>
      <c r="Q232" s="230">
        <v>0</v>
      </c>
      <c r="R232" s="230">
        <f t="shared" si="9"/>
        <v>135663.93</v>
      </c>
      <c r="S232" s="229"/>
    </row>
    <row r="233" spans="1:19" s="231" customFormat="1" ht="12.75" hidden="1" outlineLevel="1">
      <c r="A233" s="229" t="s">
        <v>1877</v>
      </c>
      <c r="B233" s="230"/>
      <c r="C233" s="230" t="s">
        <v>1878</v>
      </c>
      <c r="D233" s="230" t="s">
        <v>1879</v>
      </c>
      <c r="E233" s="230">
        <v>15264.38</v>
      </c>
      <c r="F233" s="230">
        <v>0</v>
      </c>
      <c r="G233" s="230"/>
      <c r="H233" s="229">
        <v>0</v>
      </c>
      <c r="I233" s="229">
        <v>0</v>
      </c>
      <c r="J233" s="229">
        <v>0</v>
      </c>
      <c r="K233" s="229">
        <v>0</v>
      </c>
      <c r="L233" s="229">
        <v>0</v>
      </c>
      <c r="M233" s="229">
        <v>0</v>
      </c>
      <c r="N233" s="229">
        <v>0</v>
      </c>
      <c r="O233" s="229">
        <v>-198.25</v>
      </c>
      <c r="P233" s="230">
        <v>-198.25</v>
      </c>
      <c r="Q233" s="230">
        <v>0</v>
      </c>
      <c r="R233" s="230">
        <f t="shared" si="9"/>
        <v>15066.13</v>
      </c>
      <c r="S233" s="229"/>
    </row>
    <row r="234" spans="1:19" s="231" customFormat="1" ht="12.75" hidden="1" outlineLevel="1">
      <c r="A234" s="229" t="s">
        <v>1880</v>
      </c>
      <c r="B234" s="230"/>
      <c r="C234" s="230" t="s">
        <v>1881</v>
      </c>
      <c r="D234" s="230" t="s">
        <v>1882</v>
      </c>
      <c r="E234" s="230">
        <v>1821.41</v>
      </c>
      <c r="F234" s="230">
        <v>88.4</v>
      </c>
      <c r="G234" s="230"/>
      <c r="H234" s="229">
        <v>0</v>
      </c>
      <c r="I234" s="229">
        <v>0</v>
      </c>
      <c r="J234" s="229">
        <v>0</v>
      </c>
      <c r="K234" s="229">
        <v>0</v>
      </c>
      <c r="L234" s="229">
        <v>0</v>
      </c>
      <c r="M234" s="229">
        <v>0</v>
      </c>
      <c r="N234" s="229">
        <v>0</v>
      </c>
      <c r="O234" s="229">
        <v>0</v>
      </c>
      <c r="P234" s="230">
        <v>0</v>
      </c>
      <c r="Q234" s="230">
        <v>0</v>
      </c>
      <c r="R234" s="230">
        <f t="shared" si="9"/>
        <v>1909.8100000000002</v>
      </c>
      <c r="S234" s="229"/>
    </row>
    <row r="235" spans="1:19" s="231" customFormat="1" ht="12.75" hidden="1" outlineLevel="1">
      <c r="A235" s="229" t="s">
        <v>1883</v>
      </c>
      <c r="B235" s="230"/>
      <c r="C235" s="230" t="s">
        <v>1884</v>
      </c>
      <c r="D235" s="230" t="s">
        <v>1885</v>
      </c>
      <c r="E235" s="230">
        <v>759.75</v>
      </c>
      <c r="F235" s="230">
        <v>5594.26</v>
      </c>
      <c r="G235" s="230"/>
      <c r="H235" s="229">
        <v>0</v>
      </c>
      <c r="I235" s="229">
        <v>0</v>
      </c>
      <c r="J235" s="229">
        <v>0</v>
      </c>
      <c r="K235" s="229">
        <v>0</v>
      </c>
      <c r="L235" s="229">
        <v>0</v>
      </c>
      <c r="M235" s="229">
        <v>0</v>
      </c>
      <c r="N235" s="229">
        <v>0</v>
      </c>
      <c r="O235" s="229">
        <v>0</v>
      </c>
      <c r="P235" s="230">
        <v>0</v>
      </c>
      <c r="Q235" s="230">
        <v>0</v>
      </c>
      <c r="R235" s="230">
        <f t="shared" si="9"/>
        <v>6354.01</v>
      </c>
      <c r="S235" s="229"/>
    </row>
    <row r="236" spans="1:19" s="231" customFormat="1" ht="12.75" hidden="1" outlineLevel="1">
      <c r="A236" s="229" t="s">
        <v>1886</v>
      </c>
      <c r="B236" s="230"/>
      <c r="C236" s="230" t="s">
        <v>1887</v>
      </c>
      <c r="D236" s="230" t="s">
        <v>1888</v>
      </c>
      <c r="E236" s="230">
        <v>4826.33</v>
      </c>
      <c r="F236" s="230">
        <v>0</v>
      </c>
      <c r="G236" s="230"/>
      <c r="H236" s="229">
        <v>0</v>
      </c>
      <c r="I236" s="229">
        <v>0</v>
      </c>
      <c r="J236" s="229">
        <v>0</v>
      </c>
      <c r="K236" s="229">
        <v>60.42</v>
      </c>
      <c r="L236" s="229">
        <v>0</v>
      </c>
      <c r="M236" s="229">
        <v>0</v>
      </c>
      <c r="N236" s="229">
        <v>0</v>
      </c>
      <c r="O236" s="229">
        <v>56.09</v>
      </c>
      <c r="P236" s="230">
        <v>116.51</v>
      </c>
      <c r="Q236" s="230">
        <v>0</v>
      </c>
      <c r="R236" s="230">
        <f t="shared" si="9"/>
        <v>4942.84</v>
      </c>
      <c r="S236" s="229"/>
    </row>
    <row r="237" spans="1:19" s="231" customFormat="1" ht="12.75" hidden="1" outlineLevel="1">
      <c r="A237" s="229" t="s">
        <v>1889</v>
      </c>
      <c r="B237" s="230"/>
      <c r="C237" s="230" t="s">
        <v>1890</v>
      </c>
      <c r="D237" s="230" t="s">
        <v>1891</v>
      </c>
      <c r="E237" s="230">
        <v>3342.43</v>
      </c>
      <c r="F237" s="230">
        <v>0</v>
      </c>
      <c r="G237" s="230"/>
      <c r="H237" s="229">
        <v>0</v>
      </c>
      <c r="I237" s="229">
        <v>0</v>
      </c>
      <c r="J237" s="229">
        <v>0</v>
      </c>
      <c r="K237" s="229">
        <v>0</v>
      </c>
      <c r="L237" s="229">
        <v>0</v>
      </c>
      <c r="M237" s="229">
        <v>0</v>
      </c>
      <c r="N237" s="229">
        <v>0</v>
      </c>
      <c r="O237" s="229">
        <v>0</v>
      </c>
      <c r="P237" s="230">
        <v>0</v>
      </c>
      <c r="Q237" s="230">
        <v>0</v>
      </c>
      <c r="R237" s="230">
        <f t="shared" si="9"/>
        <v>3342.43</v>
      </c>
      <c r="S237" s="229"/>
    </row>
    <row r="238" spans="1:19" s="231" customFormat="1" ht="12.75" hidden="1" outlineLevel="1">
      <c r="A238" s="229" t="s">
        <v>1892</v>
      </c>
      <c r="B238" s="230"/>
      <c r="C238" s="230" t="s">
        <v>1893</v>
      </c>
      <c r="D238" s="230" t="s">
        <v>1894</v>
      </c>
      <c r="E238" s="230">
        <v>433183.4</v>
      </c>
      <c r="F238" s="230">
        <v>10609</v>
      </c>
      <c r="G238" s="230"/>
      <c r="H238" s="229">
        <v>130149.32</v>
      </c>
      <c r="I238" s="229">
        <v>0</v>
      </c>
      <c r="J238" s="229">
        <v>0</v>
      </c>
      <c r="K238" s="229">
        <v>0</v>
      </c>
      <c r="L238" s="229">
        <v>0</v>
      </c>
      <c r="M238" s="229">
        <v>93.98</v>
      </c>
      <c r="N238" s="229">
        <v>0</v>
      </c>
      <c r="O238" s="229">
        <v>23785.03</v>
      </c>
      <c r="P238" s="230">
        <v>154028.33</v>
      </c>
      <c r="Q238" s="230">
        <v>0</v>
      </c>
      <c r="R238" s="230">
        <f t="shared" si="9"/>
        <v>597820.73</v>
      </c>
      <c r="S238" s="229"/>
    </row>
    <row r="239" spans="1:19" s="231" customFormat="1" ht="12.75" hidden="1" outlineLevel="1">
      <c r="A239" s="229" t="s">
        <v>1895</v>
      </c>
      <c r="B239" s="230"/>
      <c r="C239" s="230" t="s">
        <v>1896</v>
      </c>
      <c r="D239" s="230" t="s">
        <v>1897</v>
      </c>
      <c r="E239" s="230">
        <v>145707.8</v>
      </c>
      <c r="F239" s="230">
        <v>48560</v>
      </c>
      <c r="G239" s="230"/>
      <c r="H239" s="229">
        <v>0</v>
      </c>
      <c r="I239" s="229">
        <v>0</v>
      </c>
      <c r="J239" s="229">
        <v>0</v>
      </c>
      <c r="K239" s="229">
        <v>0</v>
      </c>
      <c r="L239" s="229">
        <v>0</v>
      </c>
      <c r="M239" s="229">
        <v>0</v>
      </c>
      <c r="N239" s="229">
        <v>0</v>
      </c>
      <c r="O239" s="229">
        <v>30.69</v>
      </c>
      <c r="P239" s="230">
        <v>30.69</v>
      </c>
      <c r="Q239" s="230">
        <v>0</v>
      </c>
      <c r="R239" s="230">
        <f t="shared" si="9"/>
        <v>194298.49</v>
      </c>
      <c r="S239" s="229"/>
    </row>
    <row r="240" spans="1:19" s="231" customFormat="1" ht="12.75" hidden="1" outlineLevel="1">
      <c r="A240" s="229" t="s">
        <v>1898</v>
      </c>
      <c r="B240" s="230"/>
      <c r="C240" s="230" t="s">
        <v>1899</v>
      </c>
      <c r="D240" s="230" t="s">
        <v>1900</v>
      </c>
      <c r="E240" s="230">
        <v>14533.16</v>
      </c>
      <c r="F240" s="230">
        <v>0</v>
      </c>
      <c r="G240" s="230"/>
      <c r="H240" s="229">
        <v>0</v>
      </c>
      <c r="I240" s="229">
        <v>0</v>
      </c>
      <c r="J240" s="229">
        <v>0</v>
      </c>
      <c r="K240" s="229">
        <v>0</v>
      </c>
      <c r="L240" s="229">
        <v>0</v>
      </c>
      <c r="M240" s="229">
        <v>0</v>
      </c>
      <c r="N240" s="229">
        <v>0</v>
      </c>
      <c r="O240" s="229">
        <v>361.78</v>
      </c>
      <c r="P240" s="230">
        <v>361.78</v>
      </c>
      <c r="Q240" s="230">
        <v>0</v>
      </c>
      <c r="R240" s="230">
        <f t="shared" si="9"/>
        <v>14894.94</v>
      </c>
      <c r="S240" s="229"/>
    </row>
    <row r="241" spans="1:19" s="231" customFormat="1" ht="12.75" hidden="1" outlineLevel="1">
      <c r="A241" s="229" t="s">
        <v>1901</v>
      </c>
      <c r="B241" s="230"/>
      <c r="C241" s="230" t="s">
        <v>1902</v>
      </c>
      <c r="D241" s="230" t="s">
        <v>1903</v>
      </c>
      <c r="E241" s="230">
        <v>103.92</v>
      </c>
      <c r="F241" s="230">
        <v>0</v>
      </c>
      <c r="G241" s="230"/>
      <c r="H241" s="229">
        <v>0</v>
      </c>
      <c r="I241" s="229">
        <v>0</v>
      </c>
      <c r="J241" s="229">
        <v>0</v>
      </c>
      <c r="K241" s="229">
        <v>0</v>
      </c>
      <c r="L241" s="229">
        <v>0</v>
      </c>
      <c r="M241" s="229">
        <v>0</v>
      </c>
      <c r="N241" s="229">
        <v>0</v>
      </c>
      <c r="O241" s="229">
        <v>0</v>
      </c>
      <c r="P241" s="230">
        <v>0</v>
      </c>
      <c r="Q241" s="230">
        <v>0</v>
      </c>
      <c r="R241" s="230">
        <f t="shared" si="9"/>
        <v>103.92</v>
      </c>
      <c r="S241" s="229"/>
    </row>
    <row r="242" spans="1:19" s="231" customFormat="1" ht="12.75" hidden="1" outlineLevel="1">
      <c r="A242" s="229" t="s">
        <v>1904</v>
      </c>
      <c r="B242" s="230"/>
      <c r="C242" s="230" t="s">
        <v>1905</v>
      </c>
      <c r="D242" s="230" t="s">
        <v>1906</v>
      </c>
      <c r="E242" s="230">
        <v>49642.59</v>
      </c>
      <c r="F242" s="230">
        <v>0</v>
      </c>
      <c r="G242" s="230"/>
      <c r="H242" s="229">
        <v>6230.92</v>
      </c>
      <c r="I242" s="229">
        <v>0</v>
      </c>
      <c r="J242" s="229">
        <v>0</v>
      </c>
      <c r="K242" s="229">
        <v>0</v>
      </c>
      <c r="L242" s="229">
        <v>0</v>
      </c>
      <c r="M242" s="229">
        <v>0</v>
      </c>
      <c r="N242" s="229">
        <v>0</v>
      </c>
      <c r="O242" s="229">
        <v>0</v>
      </c>
      <c r="P242" s="230">
        <v>6230.92</v>
      </c>
      <c r="Q242" s="230">
        <v>0</v>
      </c>
      <c r="R242" s="230">
        <f t="shared" si="9"/>
        <v>55873.509999999995</v>
      </c>
      <c r="S242" s="229"/>
    </row>
    <row r="243" spans="1:19" s="231" customFormat="1" ht="12.75" hidden="1" outlineLevel="1">
      <c r="A243" s="229" t="s">
        <v>1907</v>
      </c>
      <c r="B243" s="230"/>
      <c r="C243" s="230" t="s">
        <v>1908</v>
      </c>
      <c r="D243" s="230" t="s">
        <v>1909</v>
      </c>
      <c r="E243" s="230">
        <v>109385.26</v>
      </c>
      <c r="F243" s="230">
        <v>0</v>
      </c>
      <c r="G243" s="230"/>
      <c r="H243" s="229">
        <v>0</v>
      </c>
      <c r="I243" s="229">
        <v>0</v>
      </c>
      <c r="J243" s="229">
        <v>0</v>
      </c>
      <c r="K243" s="229">
        <v>0</v>
      </c>
      <c r="L243" s="229">
        <v>0</v>
      </c>
      <c r="M243" s="229">
        <v>0</v>
      </c>
      <c r="N243" s="229">
        <v>0</v>
      </c>
      <c r="O243" s="229">
        <v>0</v>
      </c>
      <c r="P243" s="230">
        <v>0</v>
      </c>
      <c r="Q243" s="230">
        <v>0</v>
      </c>
      <c r="R243" s="230">
        <f t="shared" si="9"/>
        <v>109385.26</v>
      </c>
      <c r="S243" s="229"/>
    </row>
    <row r="244" spans="1:19" s="231" customFormat="1" ht="12.75" hidden="1" outlineLevel="1">
      <c r="A244" s="229" t="s">
        <v>1910</v>
      </c>
      <c r="B244" s="230"/>
      <c r="C244" s="230" t="s">
        <v>1911</v>
      </c>
      <c r="D244" s="230" t="s">
        <v>1912</v>
      </c>
      <c r="E244" s="230">
        <v>3977.42</v>
      </c>
      <c r="F244" s="230">
        <v>0</v>
      </c>
      <c r="G244" s="230"/>
      <c r="H244" s="229">
        <v>0</v>
      </c>
      <c r="I244" s="229">
        <v>0</v>
      </c>
      <c r="J244" s="229">
        <v>0</v>
      </c>
      <c r="K244" s="229">
        <v>0</v>
      </c>
      <c r="L244" s="229">
        <v>0</v>
      </c>
      <c r="M244" s="229">
        <v>0</v>
      </c>
      <c r="N244" s="229">
        <v>0</v>
      </c>
      <c r="O244" s="229">
        <v>0</v>
      </c>
      <c r="P244" s="230">
        <v>0</v>
      </c>
      <c r="Q244" s="230">
        <v>0</v>
      </c>
      <c r="R244" s="230">
        <f t="shared" si="9"/>
        <v>3977.42</v>
      </c>
      <c r="S244" s="229"/>
    </row>
    <row r="245" spans="1:19" s="231" customFormat="1" ht="12.75" hidden="1" outlineLevel="1">
      <c r="A245" s="229" t="s">
        <v>1913</v>
      </c>
      <c r="B245" s="230"/>
      <c r="C245" s="230" t="s">
        <v>1914</v>
      </c>
      <c r="D245" s="230" t="s">
        <v>1915</v>
      </c>
      <c r="E245" s="230">
        <v>0</v>
      </c>
      <c r="F245" s="230">
        <v>-6300</v>
      </c>
      <c r="G245" s="230"/>
      <c r="H245" s="229">
        <v>0</v>
      </c>
      <c r="I245" s="229">
        <v>0</v>
      </c>
      <c r="J245" s="229">
        <v>0</v>
      </c>
      <c r="K245" s="229">
        <v>0</v>
      </c>
      <c r="L245" s="229">
        <v>0</v>
      </c>
      <c r="M245" s="229">
        <v>0</v>
      </c>
      <c r="N245" s="229">
        <v>0</v>
      </c>
      <c r="O245" s="229">
        <v>0</v>
      </c>
      <c r="P245" s="230">
        <v>0</v>
      </c>
      <c r="Q245" s="230">
        <v>0</v>
      </c>
      <c r="R245" s="230">
        <f t="shared" si="9"/>
        <v>-6300</v>
      </c>
      <c r="S245" s="229"/>
    </row>
    <row r="246" spans="1:19" s="231" customFormat="1" ht="12.75" hidden="1" outlineLevel="1">
      <c r="A246" s="229" t="s">
        <v>1916</v>
      </c>
      <c r="B246" s="230"/>
      <c r="C246" s="230" t="s">
        <v>1917</v>
      </c>
      <c r="D246" s="230" t="s">
        <v>1918</v>
      </c>
      <c r="E246" s="230">
        <v>2040</v>
      </c>
      <c r="F246" s="230">
        <v>0</v>
      </c>
      <c r="G246" s="230"/>
      <c r="H246" s="229">
        <v>0</v>
      </c>
      <c r="I246" s="229">
        <v>0</v>
      </c>
      <c r="J246" s="229">
        <v>0</v>
      </c>
      <c r="K246" s="229">
        <v>0</v>
      </c>
      <c r="L246" s="229">
        <v>0</v>
      </c>
      <c r="M246" s="229">
        <v>0</v>
      </c>
      <c r="N246" s="229">
        <v>0</v>
      </c>
      <c r="O246" s="229">
        <v>0</v>
      </c>
      <c r="P246" s="230">
        <v>0</v>
      </c>
      <c r="Q246" s="230">
        <v>0</v>
      </c>
      <c r="R246" s="230">
        <f t="shared" si="9"/>
        <v>2040</v>
      </c>
      <c r="S246" s="229"/>
    </row>
    <row r="247" spans="1:19" s="231" customFormat="1" ht="12.75" hidden="1" outlineLevel="1">
      <c r="A247" s="229" t="s">
        <v>958</v>
      </c>
      <c r="B247" s="230"/>
      <c r="C247" s="230" t="s">
        <v>959</v>
      </c>
      <c r="D247" s="230" t="s">
        <v>960</v>
      </c>
      <c r="E247" s="230">
        <v>5288.93</v>
      </c>
      <c r="F247" s="230">
        <v>0</v>
      </c>
      <c r="G247" s="230"/>
      <c r="H247" s="229">
        <v>0</v>
      </c>
      <c r="I247" s="229">
        <v>0</v>
      </c>
      <c r="J247" s="229">
        <v>0</v>
      </c>
      <c r="K247" s="229">
        <v>0</v>
      </c>
      <c r="L247" s="229">
        <v>0</v>
      </c>
      <c r="M247" s="229">
        <v>0</v>
      </c>
      <c r="N247" s="229">
        <v>0</v>
      </c>
      <c r="O247" s="229">
        <v>0</v>
      </c>
      <c r="P247" s="230">
        <v>0</v>
      </c>
      <c r="Q247" s="230">
        <v>0</v>
      </c>
      <c r="R247" s="230">
        <f t="shared" si="9"/>
        <v>5288.93</v>
      </c>
      <c r="S247" s="229"/>
    </row>
    <row r="248" spans="1:19" s="231" customFormat="1" ht="12.75" hidden="1" outlineLevel="1">
      <c r="A248" s="229" t="s">
        <v>961</v>
      </c>
      <c r="B248" s="230"/>
      <c r="C248" s="230" t="s">
        <v>962</v>
      </c>
      <c r="D248" s="230" t="s">
        <v>963</v>
      </c>
      <c r="E248" s="230">
        <v>1770</v>
      </c>
      <c r="F248" s="230">
        <v>0</v>
      </c>
      <c r="G248" s="230"/>
      <c r="H248" s="229">
        <v>0</v>
      </c>
      <c r="I248" s="229">
        <v>0</v>
      </c>
      <c r="J248" s="229">
        <v>0</v>
      </c>
      <c r="K248" s="229">
        <v>0</v>
      </c>
      <c r="L248" s="229">
        <v>0</v>
      </c>
      <c r="M248" s="229">
        <v>0</v>
      </c>
      <c r="N248" s="229">
        <v>0</v>
      </c>
      <c r="O248" s="229">
        <v>0</v>
      </c>
      <c r="P248" s="230">
        <v>0</v>
      </c>
      <c r="Q248" s="230">
        <v>0</v>
      </c>
      <c r="R248" s="230">
        <f t="shared" si="9"/>
        <v>1770</v>
      </c>
      <c r="S248" s="229"/>
    </row>
    <row r="249" spans="1:19" s="231" customFormat="1" ht="12.75" hidden="1" outlineLevel="1">
      <c r="A249" s="229" t="s">
        <v>964</v>
      </c>
      <c r="B249" s="230"/>
      <c r="C249" s="230" t="s">
        <v>965</v>
      </c>
      <c r="D249" s="230" t="s">
        <v>966</v>
      </c>
      <c r="E249" s="230">
        <v>776800.09</v>
      </c>
      <c r="F249" s="230">
        <v>58836.75</v>
      </c>
      <c r="G249" s="230"/>
      <c r="H249" s="229">
        <v>0</v>
      </c>
      <c r="I249" s="229">
        <v>0</v>
      </c>
      <c r="J249" s="229">
        <v>0</v>
      </c>
      <c r="K249" s="229">
        <v>0</v>
      </c>
      <c r="L249" s="229">
        <v>0</v>
      </c>
      <c r="M249" s="229">
        <v>0</v>
      </c>
      <c r="N249" s="229">
        <v>0</v>
      </c>
      <c r="O249" s="229">
        <v>0</v>
      </c>
      <c r="P249" s="230">
        <v>0</v>
      </c>
      <c r="Q249" s="230">
        <v>0</v>
      </c>
      <c r="R249" s="230">
        <f t="shared" si="9"/>
        <v>835636.84</v>
      </c>
      <c r="S249" s="229"/>
    </row>
    <row r="250" spans="1:19" s="231" customFormat="1" ht="12.75" hidden="1" outlineLevel="1">
      <c r="A250" s="229" t="s">
        <v>973</v>
      </c>
      <c r="B250" s="230"/>
      <c r="C250" s="230" t="s">
        <v>974</v>
      </c>
      <c r="D250" s="230" t="s">
        <v>975</v>
      </c>
      <c r="E250" s="230">
        <v>208533</v>
      </c>
      <c r="F250" s="230">
        <v>0</v>
      </c>
      <c r="G250" s="230"/>
      <c r="H250" s="229">
        <v>0</v>
      </c>
      <c r="I250" s="229">
        <v>0</v>
      </c>
      <c r="J250" s="229">
        <v>0</v>
      </c>
      <c r="K250" s="229">
        <v>0</v>
      </c>
      <c r="L250" s="229">
        <v>0</v>
      </c>
      <c r="M250" s="229">
        <v>0</v>
      </c>
      <c r="N250" s="229">
        <v>0</v>
      </c>
      <c r="O250" s="229">
        <v>0</v>
      </c>
      <c r="P250" s="230">
        <v>0</v>
      </c>
      <c r="Q250" s="230">
        <v>0</v>
      </c>
      <c r="R250" s="230">
        <f t="shared" si="9"/>
        <v>208533</v>
      </c>
      <c r="S250" s="229"/>
    </row>
    <row r="251" spans="1:19" s="231" customFormat="1" ht="12.75" hidden="1" outlineLevel="1">
      <c r="A251" s="229" t="s">
        <v>976</v>
      </c>
      <c r="B251" s="230"/>
      <c r="C251" s="230" t="s">
        <v>977</v>
      </c>
      <c r="D251" s="230" t="s">
        <v>978</v>
      </c>
      <c r="E251" s="230">
        <v>115206.55</v>
      </c>
      <c r="F251" s="230">
        <v>2692.29</v>
      </c>
      <c r="G251" s="230"/>
      <c r="H251" s="229">
        <v>0</v>
      </c>
      <c r="I251" s="229">
        <v>0</v>
      </c>
      <c r="J251" s="229">
        <v>0</v>
      </c>
      <c r="K251" s="229">
        <v>0</v>
      </c>
      <c r="L251" s="229">
        <v>331.17</v>
      </c>
      <c r="M251" s="229">
        <v>0</v>
      </c>
      <c r="N251" s="229">
        <v>0</v>
      </c>
      <c r="O251" s="229">
        <v>0</v>
      </c>
      <c r="P251" s="230">
        <v>331.17</v>
      </c>
      <c r="Q251" s="230">
        <v>0</v>
      </c>
      <c r="R251" s="230">
        <f t="shared" si="9"/>
        <v>118230.01</v>
      </c>
      <c r="S251" s="229"/>
    </row>
    <row r="252" spans="1:19" s="231" customFormat="1" ht="12.75" hidden="1" outlineLevel="1">
      <c r="A252" s="229" t="s">
        <v>979</v>
      </c>
      <c r="B252" s="230"/>
      <c r="C252" s="230" t="s">
        <v>980</v>
      </c>
      <c r="D252" s="230" t="s">
        <v>981</v>
      </c>
      <c r="E252" s="230">
        <v>59608.62</v>
      </c>
      <c r="F252" s="230">
        <v>0</v>
      </c>
      <c r="G252" s="230"/>
      <c r="H252" s="229">
        <v>0</v>
      </c>
      <c r="I252" s="229">
        <v>2317.76</v>
      </c>
      <c r="J252" s="229">
        <v>0</v>
      </c>
      <c r="K252" s="229">
        <v>0</v>
      </c>
      <c r="L252" s="229">
        <v>0</v>
      </c>
      <c r="M252" s="229">
        <v>0</v>
      </c>
      <c r="N252" s="229">
        <v>0</v>
      </c>
      <c r="O252" s="229">
        <v>0</v>
      </c>
      <c r="P252" s="230">
        <v>2317.76</v>
      </c>
      <c r="Q252" s="230">
        <v>0</v>
      </c>
      <c r="R252" s="230">
        <f t="shared" si="9"/>
        <v>61926.380000000005</v>
      </c>
      <c r="S252" s="229"/>
    </row>
    <row r="253" spans="1:19" s="231" customFormat="1" ht="12.75" hidden="1" outlineLevel="1">
      <c r="A253" s="229" t="s">
        <v>982</v>
      </c>
      <c r="B253" s="230"/>
      <c r="C253" s="230" t="s">
        <v>983</v>
      </c>
      <c r="D253" s="230" t="s">
        <v>984</v>
      </c>
      <c r="E253" s="230">
        <v>2311.17</v>
      </c>
      <c r="F253" s="230">
        <v>0</v>
      </c>
      <c r="G253" s="230"/>
      <c r="H253" s="229">
        <v>0</v>
      </c>
      <c r="I253" s="229">
        <v>0</v>
      </c>
      <c r="J253" s="229">
        <v>0</v>
      </c>
      <c r="K253" s="229">
        <v>0</v>
      </c>
      <c r="L253" s="229">
        <v>0</v>
      </c>
      <c r="M253" s="229">
        <v>0</v>
      </c>
      <c r="N253" s="229">
        <v>0</v>
      </c>
      <c r="O253" s="229">
        <v>0</v>
      </c>
      <c r="P253" s="230">
        <v>0</v>
      </c>
      <c r="Q253" s="230">
        <v>0</v>
      </c>
      <c r="R253" s="230">
        <f t="shared" si="9"/>
        <v>2311.17</v>
      </c>
      <c r="S253" s="229"/>
    </row>
    <row r="254" spans="1:19" s="231" customFormat="1" ht="12.75" hidden="1" outlineLevel="1">
      <c r="A254" s="229" t="s">
        <v>985</v>
      </c>
      <c r="B254" s="230"/>
      <c r="C254" s="230" t="s">
        <v>986</v>
      </c>
      <c r="D254" s="230" t="s">
        <v>987</v>
      </c>
      <c r="E254" s="230">
        <v>3563.62</v>
      </c>
      <c r="F254" s="230">
        <v>0</v>
      </c>
      <c r="G254" s="230"/>
      <c r="H254" s="229">
        <v>0</v>
      </c>
      <c r="I254" s="229">
        <v>0</v>
      </c>
      <c r="J254" s="229">
        <v>0</v>
      </c>
      <c r="K254" s="229">
        <v>0</v>
      </c>
      <c r="L254" s="229">
        <v>0</v>
      </c>
      <c r="M254" s="229">
        <v>0</v>
      </c>
      <c r="N254" s="229">
        <v>0</v>
      </c>
      <c r="O254" s="229">
        <v>0</v>
      </c>
      <c r="P254" s="230">
        <v>0</v>
      </c>
      <c r="Q254" s="230">
        <v>0</v>
      </c>
      <c r="R254" s="230">
        <f t="shared" si="9"/>
        <v>3563.62</v>
      </c>
      <c r="S254" s="229"/>
    </row>
    <row r="255" spans="1:19" s="231" customFormat="1" ht="12.75" hidden="1" outlineLevel="1">
      <c r="A255" s="229" t="s">
        <v>988</v>
      </c>
      <c r="B255" s="230"/>
      <c r="C255" s="230" t="s">
        <v>989</v>
      </c>
      <c r="D255" s="230" t="s">
        <v>990</v>
      </c>
      <c r="E255" s="230">
        <v>74.93</v>
      </c>
      <c r="F255" s="230">
        <v>0</v>
      </c>
      <c r="G255" s="230"/>
      <c r="H255" s="229">
        <v>0</v>
      </c>
      <c r="I255" s="229">
        <v>0</v>
      </c>
      <c r="J255" s="229">
        <v>0</v>
      </c>
      <c r="K255" s="229">
        <v>0</v>
      </c>
      <c r="L255" s="229">
        <v>0</v>
      </c>
      <c r="M255" s="229">
        <v>0</v>
      </c>
      <c r="N255" s="229">
        <v>0</v>
      </c>
      <c r="O255" s="229">
        <v>0</v>
      </c>
      <c r="P255" s="230">
        <v>0</v>
      </c>
      <c r="Q255" s="230">
        <v>0</v>
      </c>
      <c r="R255" s="230">
        <f t="shared" si="9"/>
        <v>74.93</v>
      </c>
      <c r="S255" s="229"/>
    </row>
    <row r="256" spans="1:19" s="231" customFormat="1" ht="12.75" hidden="1" outlineLevel="1">
      <c r="A256" s="229" t="s">
        <v>991</v>
      </c>
      <c r="B256" s="230"/>
      <c r="C256" s="230" t="s">
        <v>992</v>
      </c>
      <c r="D256" s="230" t="s">
        <v>993</v>
      </c>
      <c r="E256" s="230">
        <v>80.56</v>
      </c>
      <c r="F256" s="230">
        <v>0</v>
      </c>
      <c r="G256" s="230"/>
      <c r="H256" s="229">
        <v>0</v>
      </c>
      <c r="I256" s="229">
        <v>0</v>
      </c>
      <c r="J256" s="229">
        <v>0</v>
      </c>
      <c r="K256" s="229">
        <v>0</v>
      </c>
      <c r="L256" s="229">
        <v>0</v>
      </c>
      <c r="M256" s="229">
        <v>0</v>
      </c>
      <c r="N256" s="229">
        <v>0</v>
      </c>
      <c r="O256" s="229">
        <v>0</v>
      </c>
      <c r="P256" s="230">
        <v>0</v>
      </c>
      <c r="Q256" s="230">
        <v>0</v>
      </c>
      <c r="R256" s="230">
        <f t="shared" si="9"/>
        <v>80.56</v>
      </c>
      <c r="S256" s="229"/>
    </row>
    <row r="257" spans="1:19" s="231" customFormat="1" ht="12.75" hidden="1" outlineLevel="1">
      <c r="A257" s="229" t="s">
        <v>994</v>
      </c>
      <c r="B257" s="230"/>
      <c r="C257" s="230" t="s">
        <v>995</v>
      </c>
      <c r="D257" s="230" t="s">
        <v>996</v>
      </c>
      <c r="E257" s="230">
        <v>2313.35</v>
      </c>
      <c r="F257" s="230">
        <v>0</v>
      </c>
      <c r="G257" s="230"/>
      <c r="H257" s="229">
        <v>0</v>
      </c>
      <c r="I257" s="229">
        <v>0</v>
      </c>
      <c r="J257" s="229">
        <v>0</v>
      </c>
      <c r="K257" s="229">
        <v>0</v>
      </c>
      <c r="L257" s="229">
        <v>0</v>
      </c>
      <c r="M257" s="229">
        <v>0</v>
      </c>
      <c r="N257" s="229">
        <v>0</v>
      </c>
      <c r="O257" s="229">
        <v>0</v>
      </c>
      <c r="P257" s="230">
        <v>0</v>
      </c>
      <c r="Q257" s="230">
        <v>0</v>
      </c>
      <c r="R257" s="230">
        <f aca="true" t="shared" si="10" ref="R257:R288">E257+F257+G257+P257+Q257</f>
        <v>2313.35</v>
      </c>
      <c r="S257" s="229"/>
    </row>
    <row r="258" spans="1:19" s="231" customFormat="1" ht="12.75" hidden="1" outlineLevel="1">
      <c r="A258" s="229" t="s">
        <v>997</v>
      </c>
      <c r="B258" s="230"/>
      <c r="C258" s="230" t="s">
        <v>998</v>
      </c>
      <c r="D258" s="230" t="s">
        <v>999</v>
      </c>
      <c r="E258" s="230">
        <v>65796.03</v>
      </c>
      <c r="F258" s="230">
        <v>0</v>
      </c>
      <c r="G258" s="230"/>
      <c r="H258" s="229">
        <v>0</v>
      </c>
      <c r="I258" s="229">
        <v>0</v>
      </c>
      <c r="J258" s="229">
        <v>0</v>
      </c>
      <c r="K258" s="229">
        <v>0</v>
      </c>
      <c r="L258" s="229">
        <v>0</v>
      </c>
      <c r="M258" s="229">
        <v>0</v>
      </c>
      <c r="N258" s="229">
        <v>0</v>
      </c>
      <c r="O258" s="229">
        <v>0</v>
      </c>
      <c r="P258" s="230">
        <v>0</v>
      </c>
      <c r="Q258" s="230">
        <v>0</v>
      </c>
      <c r="R258" s="230">
        <f t="shared" si="10"/>
        <v>65796.03</v>
      </c>
      <c r="S258" s="229"/>
    </row>
    <row r="259" spans="1:19" s="231" customFormat="1" ht="12.75" hidden="1" outlineLevel="1">
      <c r="A259" s="229" t="s">
        <v>1000</v>
      </c>
      <c r="B259" s="230"/>
      <c r="C259" s="230" t="s">
        <v>1001</v>
      </c>
      <c r="D259" s="230" t="s">
        <v>1002</v>
      </c>
      <c r="E259" s="230">
        <v>-33587.78</v>
      </c>
      <c r="F259" s="230">
        <v>0</v>
      </c>
      <c r="G259" s="230"/>
      <c r="H259" s="229">
        <v>0</v>
      </c>
      <c r="I259" s="229">
        <v>0</v>
      </c>
      <c r="J259" s="229">
        <v>0</v>
      </c>
      <c r="K259" s="229">
        <v>0</v>
      </c>
      <c r="L259" s="229">
        <v>0</v>
      </c>
      <c r="M259" s="229">
        <v>0</v>
      </c>
      <c r="N259" s="229">
        <v>0</v>
      </c>
      <c r="O259" s="229">
        <v>0</v>
      </c>
      <c r="P259" s="230">
        <v>0</v>
      </c>
      <c r="Q259" s="230">
        <v>0</v>
      </c>
      <c r="R259" s="230">
        <f t="shared" si="10"/>
        <v>-33587.78</v>
      </c>
      <c r="S259" s="229"/>
    </row>
    <row r="260" spans="1:19" s="231" customFormat="1" ht="12.75" hidden="1" outlineLevel="1">
      <c r="A260" s="229" t="s">
        <v>1003</v>
      </c>
      <c r="B260" s="230"/>
      <c r="C260" s="230" t="s">
        <v>1004</v>
      </c>
      <c r="D260" s="230" t="s">
        <v>1005</v>
      </c>
      <c r="E260" s="230">
        <v>2001.29</v>
      </c>
      <c r="F260" s="230">
        <v>0</v>
      </c>
      <c r="G260" s="230"/>
      <c r="H260" s="229">
        <v>0</v>
      </c>
      <c r="I260" s="229">
        <v>0</v>
      </c>
      <c r="J260" s="229">
        <v>0</v>
      </c>
      <c r="K260" s="229">
        <v>0</v>
      </c>
      <c r="L260" s="229">
        <v>0</v>
      </c>
      <c r="M260" s="229">
        <v>0</v>
      </c>
      <c r="N260" s="229">
        <v>0</v>
      </c>
      <c r="O260" s="229">
        <v>0</v>
      </c>
      <c r="P260" s="230">
        <v>0</v>
      </c>
      <c r="Q260" s="230">
        <v>0</v>
      </c>
      <c r="R260" s="230">
        <f t="shared" si="10"/>
        <v>2001.29</v>
      </c>
      <c r="S260" s="229"/>
    </row>
    <row r="261" spans="1:19" s="231" customFormat="1" ht="12.75" hidden="1" outlineLevel="1">
      <c r="A261" s="229" t="s">
        <v>1006</v>
      </c>
      <c r="B261" s="230"/>
      <c r="C261" s="230" t="s">
        <v>1007</v>
      </c>
      <c r="D261" s="230" t="s">
        <v>1008</v>
      </c>
      <c r="E261" s="230">
        <v>-44643.18</v>
      </c>
      <c r="F261" s="230">
        <v>1079.72</v>
      </c>
      <c r="G261" s="230"/>
      <c r="H261" s="229">
        <v>0</v>
      </c>
      <c r="I261" s="229">
        <v>0</v>
      </c>
      <c r="J261" s="229">
        <v>0</v>
      </c>
      <c r="K261" s="229">
        <v>0</v>
      </c>
      <c r="L261" s="229">
        <v>0</v>
      </c>
      <c r="M261" s="229">
        <v>3708</v>
      </c>
      <c r="N261" s="229">
        <v>0</v>
      </c>
      <c r="O261" s="229">
        <v>0</v>
      </c>
      <c r="P261" s="230">
        <v>3708</v>
      </c>
      <c r="Q261" s="230">
        <v>0</v>
      </c>
      <c r="R261" s="230">
        <f t="shared" si="10"/>
        <v>-39855.46</v>
      </c>
      <c r="S261" s="229"/>
    </row>
    <row r="262" spans="1:19" s="231" customFormat="1" ht="12.75" hidden="1" outlineLevel="1">
      <c r="A262" s="229" t="s">
        <v>1009</v>
      </c>
      <c r="B262" s="230"/>
      <c r="C262" s="230" t="s">
        <v>1010</v>
      </c>
      <c r="D262" s="230" t="s">
        <v>1011</v>
      </c>
      <c r="E262" s="230">
        <v>800425.86</v>
      </c>
      <c r="F262" s="230">
        <v>179.96</v>
      </c>
      <c r="G262" s="230"/>
      <c r="H262" s="229">
        <v>2710</v>
      </c>
      <c r="I262" s="229">
        <v>0</v>
      </c>
      <c r="J262" s="229">
        <v>0</v>
      </c>
      <c r="K262" s="229">
        <v>103.92</v>
      </c>
      <c r="L262" s="229">
        <v>17.54</v>
      </c>
      <c r="M262" s="229">
        <v>3886.75</v>
      </c>
      <c r="N262" s="229">
        <v>0</v>
      </c>
      <c r="O262" s="229">
        <v>3263.82</v>
      </c>
      <c r="P262" s="230">
        <v>9982.03</v>
      </c>
      <c r="Q262" s="230">
        <v>0</v>
      </c>
      <c r="R262" s="230">
        <f t="shared" si="10"/>
        <v>810587.85</v>
      </c>
      <c r="S262" s="229"/>
    </row>
    <row r="263" spans="1:19" s="231" customFormat="1" ht="12.75" hidden="1" outlineLevel="1">
      <c r="A263" s="229" t="s">
        <v>1012</v>
      </c>
      <c r="B263" s="230"/>
      <c r="C263" s="230" t="s">
        <v>1013</v>
      </c>
      <c r="D263" s="230" t="s">
        <v>1014</v>
      </c>
      <c r="E263" s="230">
        <v>46053.34</v>
      </c>
      <c r="F263" s="230">
        <v>311.76</v>
      </c>
      <c r="G263" s="230"/>
      <c r="H263" s="229">
        <v>25471.98</v>
      </c>
      <c r="I263" s="229">
        <v>0</v>
      </c>
      <c r="J263" s="229">
        <v>0</v>
      </c>
      <c r="K263" s="229">
        <v>0</v>
      </c>
      <c r="L263" s="229">
        <v>0</v>
      </c>
      <c r="M263" s="229">
        <v>0</v>
      </c>
      <c r="N263" s="229">
        <v>0</v>
      </c>
      <c r="O263" s="229">
        <v>13753.44</v>
      </c>
      <c r="P263" s="230">
        <v>39225.42</v>
      </c>
      <c r="Q263" s="230">
        <v>0</v>
      </c>
      <c r="R263" s="230">
        <f t="shared" si="10"/>
        <v>85590.51999999999</v>
      </c>
      <c r="S263" s="229"/>
    </row>
    <row r="264" spans="1:19" s="231" customFormat="1" ht="12.75" hidden="1" outlineLevel="1">
      <c r="A264" s="229" t="s">
        <v>1015</v>
      </c>
      <c r="B264" s="230"/>
      <c r="C264" s="230" t="s">
        <v>1016</v>
      </c>
      <c r="D264" s="230" t="s">
        <v>1017</v>
      </c>
      <c r="E264" s="230">
        <v>142566.21</v>
      </c>
      <c r="F264" s="230">
        <v>0</v>
      </c>
      <c r="G264" s="230"/>
      <c r="H264" s="229">
        <v>0</v>
      </c>
      <c r="I264" s="229">
        <v>0</v>
      </c>
      <c r="J264" s="229">
        <v>0</v>
      </c>
      <c r="K264" s="229">
        <v>0</v>
      </c>
      <c r="L264" s="229">
        <v>105.22</v>
      </c>
      <c r="M264" s="229">
        <v>0</v>
      </c>
      <c r="N264" s="229">
        <v>0</v>
      </c>
      <c r="O264" s="229">
        <v>36.33</v>
      </c>
      <c r="P264" s="230">
        <v>141.55</v>
      </c>
      <c r="Q264" s="230">
        <v>0</v>
      </c>
      <c r="R264" s="230">
        <f t="shared" si="10"/>
        <v>142707.75999999998</v>
      </c>
      <c r="S264" s="229"/>
    </row>
    <row r="265" spans="1:19" s="231" customFormat="1" ht="12.75" hidden="1" outlineLevel="1">
      <c r="A265" s="229" t="s">
        <v>1018</v>
      </c>
      <c r="B265" s="230"/>
      <c r="C265" s="230" t="s">
        <v>1019</v>
      </c>
      <c r="D265" s="230" t="s">
        <v>1020</v>
      </c>
      <c r="E265" s="230">
        <v>-531292.07</v>
      </c>
      <c r="F265" s="230">
        <v>0</v>
      </c>
      <c r="G265" s="230"/>
      <c r="H265" s="229">
        <v>0</v>
      </c>
      <c r="I265" s="229">
        <v>0</v>
      </c>
      <c r="J265" s="229">
        <v>0</v>
      </c>
      <c r="K265" s="229">
        <v>0</v>
      </c>
      <c r="L265" s="229">
        <v>0</v>
      </c>
      <c r="M265" s="229">
        <v>5042.04</v>
      </c>
      <c r="N265" s="229">
        <v>0</v>
      </c>
      <c r="O265" s="229">
        <v>0</v>
      </c>
      <c r="P265" s="230">
        <v>5042.04</v>
      </c>
      <c r="Q265" s="230">
        <v>0</v>
      </c>
      <c r="R265" s="230">
        <f t="shared" si="10"/>
        <v>-526250.0299999999</v>
      </c>
      <c r="S265" s="229"/>
    </row>
    <row r="266" spans="1:19" s="231" customFormat="1" ht="12.75" hidden="1" outlineLevel="1">
      <c r="A266" s="229" t="s">
        <v>1021</v>
      </c>
      <c r="B266" s="230"/>
      <c r="C266" s="230" t="s">
        <v>1022</v>
      </c>
      <c r="D266" s="230" t="s">
        <v>1023</v>
      </c>
      <c r="E266" s="230">
        <v>3713.99</v>
      </c>
      <c r="F266" s="230">
        <v>1611.32</v>
      </c>
      <c r="G266" s="230"/>
      <c r="H266" s="229">
        <v>0</v>
      </c>
      <c r="I266" s="229">
        <v>0</v>
      </c>
      <c r="J266" s="229">
        <v>0</v>
      </c>
      <c r="K266" s="229">
        <v>0</v>
      </c>
      <c r="L266" s="229">
        <v>0</v>
      </c>
      <c r="M266" s="229">
        <v>0</v>
      </c>
      <c r="N266" s="229">
        <v>0</v>
      </c>
      <c r="O266" s="229">
        <v>0</v>
      </c>
      <c r="P266" s="230">
        <v>0</v>
      </c>
      <c r="Q266" s="230">
        <v>0</v>
      </c>
      <c r="R266" s="230">
        <f t="shared" si="10"/>
        <v>5325.3099999999995</v>
      </c>
      <c r="S266" s="229"/>
    </row>
    <row r="267" spans="1:19" s="231" customFormat="1" ht="12.75" hidden="1" outlineLevel="1">
      <c r="A267" s="229" t="s">
        <v>1024</v>
      </c>
      <c r="B267" s="230"/>
      <c r="C267" s="230" t="s">
        <v>1025</v>
      </c>
      <c r="D267" s="230" t="s">
        <v>1026</v>
      </c>
      <c r="E267" s="230">
        <v>2276739.98</v>
      </c>
      <c r="F267" s="230">
        <v>0</v>
      </c>
      <c r="G267" s="230"/>
      <c r="H267" s="229">
        <v>0</v>
      </c>
      <c r="I267" s="229">
        <v>0</v>
      </c>
      <c r="J267" s="229">
        <v>0</v>
      </c>
      <c r="K267" s="229">
        <v>0</v>
      </c>
      <c r="L267" s="229">
        <v>0</v>
      </c>
      <c r="M267" s="229">
        <v>0</v>
      </c>
      <c r="N267" s="229">
        <v>0</v>
      </c>
      <c r="O267" s="229">
        <v>0</v>
      </c>
      <c r="P267" s="230">
        <v>0</v>
      </c>
      <c r="Q267" s="230">
        <v>0</v>
      </c>
      <c r="R267" s="230">
        <f t="shared" si="10"/>
        <v>2276739.98</v>
      </c>
      <c r="S267" s="229"/>
    </row>
    <row r="268" spans="1:19" s="231" customFormat="1" ht="12.75" hidden="1" outlineLevel="1">
      <c r="A268" s="229" t="s">
        <v>1027</v>
      </c>
      <c r="B268" s="230"/>
      <c r="C268" s="230" t="s">
        <v>1028</v>
      </c>
      <c r="D268" s="230" t="s">
        <v>1029</v>
      </c>
      <c r="E268" s="230">
        <v>202980.98</v>
      </c>
      <c r="F268" s="230">
        <v>0</v>
      </c>
      <c r="G268" s="230"/>
      <c r="H268" s="229">
        <v>0</v>
      </c>
      <c r="I268" s="229">
        <v>0</v>
      </c>
      <c r="J268" s="229">
        <v>0</v>
      </c>
      <c r="K268" s="229">
        <v>0</v>
      </c>
      <c r="L268" s="229">
        <v>0</v>
      </c>
      <c r="M268" s="229">
        <v>0</v>
      </c>
      <c r="N268" s="229">
        <v>0</v>
      </c>
      <c r="O268" s="229">
        <v>0</v>
      </c>
      <c r="P268" s="230">
        <v>0</v>
      </c>
      <c r="Q268" s="230">
        <v>0</v>
      </c>
      <c r="R268" s="230">
        <f t="shared" si="10"/>
        <v>202980.98</v>
      </c>
      <c r="S268" s="229"/>
    </row>
    <row r="269" spans="1:19" s="231" customFormat="1" ht="12.75" hidden="1" outlineLevel="1">
      <c r="A269" s="229" t="s">
        <v>1030</v>
      </c>
      <c r="B269" s="230"/>
      <c r="C269" s="230" t="s">
        <v>1031</v>
      </c>
      <c r="D269" s="230" t="s">
        <v>1032</v>
      </c>
      <c r="E269" s="230">
        <v>126635.07</v>
      </c>
      <c r="F269" s="230">
        <v>0</v>
      </c>
      <c r="G269" s="230"/>
      <c r="H269" s="229">
        <v>0</v>
      </c>
      <c r="I269" s="229">
        <v>0</v>
      </c>
      <c r="J269" s="229">
        <v>0</v>
      </c>
      <c r="K269" s="229">
        <v>0</v>
      </c>
      <c r="L269" s="229">
        <v>0</v>
      </c>
      <c r="M269" s="229">
        <v>0</v>
      </c>
      <c r="N269" s="229">
        <v>0</v>
      </c>
      <c r="O269" s="229">
        <v>0</v>
      </c>
      <c r="P269" s="230">
        <v>0</v>
      </c>
      <c r="Q269" s="230">
        <v>0</v>
      </c>
      <c r="R269" s="230">
        <f t="shared" si="10"/>
        <v>126635.07</v>
      </c>
      <c r="S269" s="229"/>
    </row>
    <row r="270" spans="1:19" s="231" customFormat="1" ht="12.75" hidden="1" outlineLevel="1">
      <c r="A270" s="229" t="s">
        <v>1033</v>
      </c>
      <c r="B270" s="230"/>
      <c r="C270" s="230" t="s">
        <v>1034</v>
      </c>
      <c r="D270" s="230" t="s">
        <v>1035</v>
      </c>
      <c r="E270" s="230">
        <v>3925.21</v>
      </c>
      <c r="F270" s="230">
        <v>0</v>
      </c>
      <c r="G270" s="230"/>
      <c r="H270" s="229">
        <v>0</v>
      </c>
      <c r="I270" s="229">
        <v>0</v>
      </c>
      <c r="J270" s="229">
        <v>0</v>
      </c>
      <c r="K270" s="229">
        <v>0</v>
      </c>
      <c r="L270" s="229">
        <v>0</v>
      </c>
      <c r="M270" s="229">
        <v>0</v>
      </c>
      <c r="N270" s="229">
        <v>0</v>
      </c>
      <c r="O270" s="229">
        <v>0</v>
      </c>
      <c r="P270" s="230">
        <v>0</v>
      </c>
      <c r="Q270" s="230">
        <v>0</v>
      </c>
      <c r="R270" s="230">
        <f t="shared" si="10"/>
        <v>3925.21</v>
      </c>
      <c r="S270" s="229"/>
    </row>
    <row r="271" spans="1:19" s="231" customFormat="1" ht="12.75" hidden="1" outlineLevel="1">
      <c r="A271" s="229" t="s">
        <v>1036</v>
      </c>
      <c r="B271" s="230"/>
      <c r="C271" s="230" t="s">
        <v>1037</v>
      </c>
      <c r="D271" s="230" t="s">
        <v>1038</v>
      </c>
      <c r="E271" s="230">
        <v>153212.05</v>
      </c>
      <c r="F271" s="230">
        <v>0</v>
      </c>
      <c r="G271" s="230"/>
      <c r="H271" s="229">
        <v>0</v>
      </c>
      <c r="I271" s="229">
        <v>0</v>
      </c>
      <c r="J271" s="229">
        <v>0</v>
      </c>
      <c r="K271" s="229">
        <v>0</v>
      </c>
      <c r="L271" s="229">
        <v>0</v>
      </c>
      <c r="M271" s="229">
        <v>0</v>
      </c>
      <c r="N271" s="229">
        <v>0</v>
      </c>
      <c r="O271" s="229">
        <v>0</v>
      </c>
      <c r="P271" s="230">
        <v>0</v>
      </c>
      <c r="Q271" s="230">
        <v>0</v>
      </c>
      <c r="R271" s="230">
        <f t="shared" si="10"/>
        <v>153212.05</v>
      </c>
      <c r="S271" s="229"/>
    </row>
    <row r="272" spans="1:19" s="231" customFormat="1" ht="12.75" hidden="1" outlineLevel="1">
      <c r="A272" s="229" t="s">
        <v>1042</v>
      </c>
      <c r="B272" s="230"/>
      <c r="C272" s="230" t="s">
        <v>1043</v>
      </c>
      <c r="D272" s="230" t="s">
        <v>1044</v>
      </c>
      <c r="E272" s="230">
        <v>1027.07</v>
      </c>
      <c r="F272" s="230">
        <v>0</v>
      </c>
      <c r="G272" s="230"/>
      <c r="H272" s="229">
        <v>0</v>
      </c>
      <c r="I272" s="229">
        <v>0</v>
      </c>
      <c r="J272" s="229">
        <v>0</v>
      </c>
      <c r="K272" s="229">
        <v>0</v>
      </c>
      <c r="L272" s="229">
        <v>0</v>
      </c>
      <c r="M272" s="229">
        <v>0</v>
      </c>
      <c r="N272" s="229">
        <v>0</v>
      </c>
      <c r="O272" s="229">
        <v>0</v>
      </c>
      <c r="P272" s="230">
        <v>0</v>
      </c>
      <c r="Q272" s="230">
        <v>0</v>
      </c>
      <c r="R272" s="230">
        <f t="shared" si="10"/>
        <v>1027.07</v>
      </c>
      <c r="S272" s="229"/>
    </row>
    <row r="273" spans="1:19" s="231" customFormat="1" ht="12.75" hidden="1" outlineLevel="1">
      <c r="A273" s="229" t="s">
        <v>1051</v>
      </c>
      <c r="B273" s="230"/>
      <c r="C273" s="230" t="s">
        <v>1052</v>
      </c>
      <c r="D273" s="230" t="s">
        <v>1053</v>
      </c>
      <c r="E273" s="230">
        <v>-379775.97</v>
      </c>
      <c r="F273" s="230">
        <v>131202.09</v>
      </c>
      <c r="G273" s="230"/>
      <c r="H273" s="229">
        <v>0</v>
      </c>
      <c r="I273" s="229">
        <v>0</v>
      </c>
      <c r="J273" s="229">
        <v>6099.96</v>
      </c>
      <c r="K273" s="229">
        <v>0</v>
      </c>
      <c r="L273" s="229">
        <v>0</v>
      </c>
      <c r="M273" s="229">
        <v>0</v>
      </c>
      <c r="N273" s="229">
        <v>0</v>
      </c>
      <c r="O273" s="229">
        <v>0</v>
      </c>
      <c r="P273" s="230">
        <v>6099.96</v>
      </c>
      <c r="Q273" s="230">
        <v>0</v>
      </c>
      <c r="R273" s="230">
        <f t="shared" si="10"/>
        <v>-242473.91999999998</v>
      </c>
      <c r="S273" s="229"/>
    </row>
    <row r="274" spans="1:19" ht="12.75" customHeight="1" collapsed="1">
      <c r="A274" s="260" t="s">
        <v>1544</v>
      </c>
      <c r="B274" s="213"/>
      <c r="C274" s="212" t="s">
        <v>2839</v>
      </c>
      <c r="D274" s="214"/>
      <c r="E274" s="116">
        <v>15810269.610000003</v>
      </c>
      <c r="F274" s="116">
        <v>617047.04</v>
      </c>
      <c r="G274" s="116">
        <v>5670871.202</v>
      </c>
      <c r="H274" s="260">
        <v>-478560.53000000096</v>
      </c>
      <c r="I274" s="260">
        <v>-253033.5</v>
      </c>
      <c r="J274" s="260">
        <v>-59231.96</v>
      </c>
      <c r="K274" s="260">
        <v>-86678.73</v>
      </c>
      <c r="L274" s="260">
        <v>-36023.49</v>
      </c>
      <c r="M274" s="260">
        <v>-123127.38</v>
      </c>
      <c r="N274" s="260">
        <v>-2236.93</v>
      </c>
      <c r="O274" s="260">
        <v>-242846.41000000053</v>
      </c>
      <c r="P274" s="116">
        <v>-1281738.93</v>
      </c>
      <c r="Q274" s="116">
        <v>0</v>
      </c>
      <c r="R274" s="116">
        <f t="shared" si="10"/>
        <v>20816448.922000002</v>
      </c>
      <c r="S274" s="260"/>
    </row>
    <row r="275" spans="1:19" s="231" customFormat="1" ht="12.75" hidden="1" outlineLevel="1">
      <c r="A275" s="229" t="s">
        <v>1064</v>
      </c>
      <c r="B275" s="230"/>
      <c r="C275" s="230" t="s">
        <v>1065</v>
      </c>
      <c r="D275" s="230" t="s">
        <v>1066</v>
      </c>
      <c r="E275" s="230">
        <v>4741000</v>
      </c>
      <c r="F275" s="230">
        <v>0</v>
      </c>
      <c r="G275" s="230"/>
      <c r="H275" s="229">
        <v>0</v>
      </c>
      <c r="I275" s="229">
        <v>0</v>
      </c>
      <c r="J275" s="229">
        <v>0</v>
      </c>
      <c r="K275" s="229">
        <v>0</v>
      </c>
      <c r="L275" s="229">
        <v>0</v>
      </c>
      <c r="M275" s="229">
        <v>0</v>
      </c>
      <c r="N275" s="229">
        <v>0</v>
      </c>
      <c r="O275" s="229">
        <v>0</v>
      </c>
      <c r="P275" s="230">
        <v>0</v>
      </c>
      <c r="Q275" s="230">
        <v>0</v>
      </c>
      <c r="R275" s="230">
        <f t="shared" si="10"/>
        <v>4741000</v>
      </c>
      <c r="S275" s="229"/>
    </row>
    <row r="276" spans="1:19" ht="12.75" customHeight="1" collapsed="1">
      <c r="A276" s="212" t="s">
        <v>1067</v>
      </c>
      <c r="B276" s="213"/>
      <c r="C276" s="212" t="s">
        <v>2840</v>
      </c>
      <c r="D276" s="214"/>
      <c r="E276" s="116">
        <v>4741000</v>
      </c>
      <c r="F276" s="116">
        <v>0</v>
      </c>
      <c r="G276" s="116">
        <v>0</v>
      </c>
      <c r="H276" s="212">
        <v>0</v>
      </c>
      <c r="I276" s="212">
        <v>0</v>
      </c>
      <c r="J276" s="212">
        <v>0</v>
      </c>
      <c r="K276" s="212">
        <v>0</v>
      </c>
      <c r="L276" s="212">
        <v>0</v>
      </c>
      <c r="M276" s="212">
        <v>0</v>
      </c>
      <c r="N276" s="212">
        <v>0</v>
      </c>
      <c r="O276" s="212">
        <v>0</v>
      </c>
      <c r="P276" s="116">
        <v>0</v>
      </c>
      <c r="Q276" s="116">
        <v>0</v>
      </c>
      <c r="R276" s="116">
        <f t="shared" si="10"/>
        <v>4741000</v>
      </c>
      <c r="S276" s="212"/>
    </row>
    <row r="277" spans="1:19" s="231" customFormat="1" ht="12.75" hidden="1" outlineLevel="1">
      <c r="A277" s="229" t="s">
        <v>1083</v>
      </c>
      <c r="B277" s="230"/>
      <c r="C277" s="230" t="s">
        <v>1084</v>
      </c>
      <c r="D277" s="230" t="s">
        <v>1085</v>
      </c>
      <c r="E277" s="230">
        <v>70795.37</v>
      </c>
      <c r="F277" s="230">
        <v>0</v>
      </c>
      <c r="G277" s="230"/>
      <c r="H277" s="229">
        <v>0</v>
      </c>
      <c r="I277" s="229">
        <v>0</v>
      </c>
      <c r="J277" s="229">
        <v>0</v>
      </c>
      <c r="K277" s="229">
        <v>0</v>
      </c>
      <c r="L277" s="229">
        <v>0</v>
      </c>
      <c r="M277" s="229">
        <v>0</v>
      </c>
      <c r="N277" s="229">
        <v>0</v>
      </c>
      <c r="O277" s="229">
        <v>18171.4</v>
      </c>
      <c r="P277" s="230">
        <v>18171.4</v>
      </c>
      <c r="Q277" s="230">
        <v>0</v>
      </c>
      <c r="R277" s="230">
        <f t="shared" si="10"/>
        <v>88966.76999999999</v>
      </c>
      <c r="S277" s="229"/>
    </row>
    <row r="278" spans="1:19" s="231" customFormat="1" ht="12.75" hidden="1" outlineLevel="1">
      <c r="A278" s="229" t="s">
        <v>1089</v>
      </c>
      <c r="B278" s="230"/>
      <c r="C278" s="230" t="s">
        <v>1090</v>
      </c>
      <c r="D278" s="230" t="s">
        <v>1091</v>
      </c>
      <c r="E278" s="230">
        <v>38532.25</v>
      </c>
      <c r="F278" s="230">
        <v>0</v>
      </c>
      <c r="G278" s="230"/>
      <c r="H278" s="229">
        <v>0</v>
      </c>
      <c r="I278" s="229">
        <v>0</v>
      </c>
      <c r="J278" s="229">
        <v>0</v>
      </c>
      <c r="K278" s="229">
        <v>0</v>
      </c>
      <c r="L278" s="229">
        <v>0</v>
      </c>
      <c r="M278" s="229">
        <v>13741</v>
      </c>
      <c r="N278" s="229">
        <v>0</v>
      </c>
      <c r="O278" s="229">
        <v>0</v>
      </c>
      <c r="P278" s="230">
        <v>13741</v>
      </c>
      <c r="Q278" s="230">
        <v>0</v>
      </c>
      <c r="R278" s="230">
        <f t="shared" si="10"/>
        <v>52273.25</v>
      </c>
      <c r="S278" s="229"/>
    </row>
    <row r="279" spans="1:19" s="231" customFormat="1" ht="12.75" hidden="1" outlineLevel="1">
      <c r="A279" s="229" t="s">
        <v>1092</v>
      </c>
      <c r="B279" s="230"/>
      <c r="C279" s="230" t="s">
        <v>1093</v>
      </c>
      <c r="D279" s="230" t="s">
        <v>1094</v>
      </c>
      <c r="E279" s="230">
        <v>65218.41</v>
      </c>
      <c r="F279" s="230">
        <v>0</v>
      </c>
      <c r="G279" s="230"/>
      <c r="H279" s="229">
        <v>20082.27</v>
      </c>
      <c r="I279" s="229">
        <v>0</v>
      </c>
      <c r="J279" s="229">
        <v>0</v>
      </c>
      <c r="K279" s="229">
        <v>0</v>
      </c>
      <c r="L279" s="229">
        <v>0</v>
      </c>
      <c r="M279" s="229">
        <v>0</v>
      </c>
      <c r="N279" s="229">
        <v>0</v>
      </c>
      <c r="O279" s="229">
        <v>0</v>
      </c>
      <c r="P279" s="230">
        <v>20082.27</v>
      </c>
      <c r="Q279" s="230">
        <v>0</v>
      </c>
      <c r="R279" s="230">
        <f t="shared" si="10"/>
        <v>85300.68000000001</v>
      </c>
      <c r="S279" s="229"/>
    </row>
    <row r="280" spans="1:19" s="231" customFormat="1" ht="12.75" hidden="1" outlineLevel="1">
      <c r="A280" s="229" t="s">
        <v>1095</v>
      </c>
      <c r="B280" s="230"/>
      <c r="C280" s="230" t="s">
        <v>1096</v>
      </c>
      <c r="D280" s="230" t="s">
        <v>1097</v>
      </c>
      <c r="E280" s="230">
        <v>629439.41</v>
      </c>
      <c r="F280" s="230">
        <v>0</v>
      </c>
      <c r="G280" s="230"/>
      <c r="H280" s="229">
        <v>0</v>
      </c>
      <c r="I280" s="229">
        <v>0</v>
      </c>
      <c r="J280" s="229">
        <v>0</v>
      </c>
      <c r="K280" s="229">
        <v>0</v>
      </c>
      <c r="L280" s="229">
        <v>0</v>
      </c>
      <c r="M280" s="229">
        <v>0</v>
      </c>
      <c r="N280" s="229">
        <v>0</v>
      </c>
      <c r="O280" s="229">
        <v>0</v>
      </c>
      <c r="P280" s="230">
        <v>0</v>
      </c>
      <c r="Q280" s="230">
        <v>0</v>
      </c>
      <c r="R280" s="230">
        <f t="shared" si="10"/>
        <v>629439.41</v>
      </c>
      <c r="S280" s="229"/>
    </row>
    <row r="281" spans="1:19" s="231" customFormat="1" ht="12.75" hidden="1" outlineLevel="1">
      <c r="A281" s="229" t="s">
        <v>1101</v>
      </c>
      <c r="B281" s="230"/>
      <c r="C281" s="230" t="s">
        <v>1102</v>
      </c>
      <c r="D281" s="230" t="s">
        <v>1103</v>
      </c>
      <c r="E281" s="230">
        <v>30552.5</v>
      </c>
      <c r="F281" s="230">
        <v>0</v>
      </c>
      <c r="G281" s="230"/>
      <c r="H281" s="229">
        <v>0</v>
      </c>
      <c r="I281" s="229">
        <v>0</v>
      </c>
      <c r="J281" s="229">
        <v>0</v>
      </c>
      <c r="K281" s="229">
        <v>0</v>
      </c>
      <c r="L281" s="229">
        <v>0</v>
      </c>
      <c r="M281" s="229">
        <v>0</v>
      </c>
      <c r="N281" s="229">
        <v>0</v>
      </c>
      <c r="O281" s="229">
        <v>0</v>
      </c>
      <c r="P281" s="230">
        <v>0</v>
      </c>
      <c r="Q281" s="230">
        <v>0</v>
      </c>
      <c r="R281" s="230">
        <f t="shared" si="10"/>
        <v>30552.5</v>
      </c>
      <c r="S281" s="229"/>
    </row>
    <row r="282" spans="1:19" s="231" customFormat="1" ht="12.75" hidden="1" outlineLevel="1">
      <c r="A282" s="229" t="s">
        <v>1104</v>
      </c>
      <c r="B282" s="230"/>
      <c r="C282" s="230" t="s">
        <v>1105</v>
      </c>
      <c r="D282" s="230" t="s">
        <v>1106</v>
      </c>
      <c r="E282" s="230">
        <v>12768</v>
      </c>
      <c r="F282" s="230">
        <v>0</v>
      </c>
      <c r="G282" s="230"/>
      <c r="H282" s="229">
        <v>0</v>
      </c>
      <c r="I282" s="229">
        <v>0</v>
      </c>
      <c r="J282" s="229">
        <v>0</v>
      </c>
      <c r="K282" s="229">
        <v>0</v>
      </c>
      <c r="L282" s="229">
        <v>0</v>
      </c>
      <c r="M282" s="229">
        <v>0</v>
      </c>
      <c r="N282" s="229">
        <v>0</v>
      </c>
      <c r="O282" s="229">
        <v>0</v>
      </c>
      <c r="P282" s="230">
        <v>0</v>
      </c>
      <c r="Q282" s="230">
        <v>0</v>
      </c>
      <c r="R282" s="230">
        <f t="shared" si="10"/>
        <v>12768</v>
      </c>
      <c r="S282" s="229"/>
    </row>
    <row r="283" spans="1:19" s="231" customFormat="1" ht="12.75" hidden="1" outlineLevel="1">
      <c r="A283" s="229" t="s">
        <v>1110</v>
      </c>
      <c r="B283" s="230"/>
      <c r="C283" s="230" t="s">
        <v>1111</v>
      </c>
      <c r="D283" s="230" t="s">
        <v>1112</v>
      </c>
      <c r="E283" s="230">
        <v>3818</v>
      </c>
      <c r="F283" s="230">
        <v>0</v>
      </c>
      <c r="G283" s="230"/>
      <c r="H283" s="229">
        <v>0</v>
      </c>
      <c r="I283" s="229">
        <v>0</v>
      </c>
      <c r="J283" s="229">
        <v>0</v>
      </c>
      <c r="K283" s="229">
        <v>0</v>
      </c>
      <c r="L283" s="229">
        <v>0</v>
      </c>
      <c r="M283" s="229">
        <v>0</v>
      </c>
      <c r="N283" s="229">
        <v>0</v>
      </c>
      <c r="O283" s="229">
        <v>0</v>
      </c>
      <c r="P283" s="230">
        <v>0</v>
      </c>
      <c r="Q283" s="230">
        <v>0</v>
      </c>
      <c r="R283" s="230">
        <f t="shared" si="10"/>
        <v>3818</v>
      </c>
      <c r="S283" s="229"/>
    </row>
    <row r="284" spans="1:19" s="231" customFormat="1" ht="12.75" hidden="1" outlineLevel="1">
      <c r="A284" s="229" t="s">
        <v>1113</v>
      </c>
      <c r="B284" s="230"/>
      <c r="C284" s="230" t="s">
        <v>1114</v>
      </c>
      <c r="D284" s="230" t="s">
        <v>1115</v>
      </c>
      <c r="E284" s="230">
        <v>980672.96</v>
      </c>
      <c r="F284" s="230">
        <v>0</v>
      </c>
      <c r="G284" s="230"/>
      <c r="H284" s="229">
        <v>0</v>
      </c>
      <c r="I284" s="229">
        <v>0</v>
      </c>
      <c r="J284" s="229">
        <v>0</v>
      </c>
      <c r="K284" s="229">
        <v>0</v>
      </c>
      <c r="L284" s="229">
        <v>0</v>
      </c>
      <c r="M284" s="229">
        <v>0</v>
      </c>
      <c r="N284" s="229">
        <v>0</v>
      </c>
      <c r="O284" s="229">
        <v>0</v>
      </c>
      <c r="P284" s="230">
        <v>0</v>
      </c>
      <c r="Q284" s="230">
        <v>0</v>
      </c>
      <c r="R284" s="230">
        <f t="shared" si="10"/>
        <v>980672.96</v>
      </c>
      <c r="S284" s="229"/>
    </row>
    <row r="285" spans="1:19" s="231" customFormat="1" ht="12.75" hidden="1" outlineLevel="1">
      <c r="A285" s="229" t="s">
        <v>1119</v>
      </c>
      <c r="B285" s="230"/>
      <c r="C285" s="230" t="s">
        <v>1120</v>
      </c>
      <c r="D285" s="230" t="s">
        <v>1121</v>
      </c>
      <c r="E285" s="230">
        <v>427840.39</v>
      </c>
      <c r="F285" s="230">
        <v>0</v>
      </c>
      <c r="G285" s="230"/>
      <c r="H285" s="229">
        <v>0</v>
      </c>
      <c r="I285" s="229">
        <v>0</v>
      </c>
      <c r="J285" s="229">
        <v>0</v>
      </c>
      <c r="K285" s="229">
        <v>0</v>
      </c>
      <c r="L285" s="229">
        <v>0</v>
      </c>
      <c r="M285" s="229">
        <v>0</v>
      </c>
      <c r="N285" s="229">
        <v>0</v>
      </c>
      <c r="O285" s="229">
        <v>0</v>
      </c>
      <c r="P285" s="230">
        <v>0</v>
      </c>
      <c r="Q285" s="230">
        <v>0</v>
      </c>
      <c r="R285" s="230">
        <f t="shared" si="10"/>
        <v>427840.39</v>
      </c>
      <c r="S285" s="229"/>
    </row>
    <row r="286" spans="1:19" s="231" customFormat="1" ht="12.75" hidden="1" outlineLevel="1">
      <c r="A286" s="229" t="s">
        <v>1122</v>
      </c>
      <c r="B286" s="230"/>
      <c r="C286" s="230" t="s">
        <v>1123</v>
      </c>
      <c r="D286" s="230" t="s">
        <v>1124</v>
      </c>
      <c r="E286" s="230">
        <v>547375.79</v>
      </c>
      <c r="F286" s="230">
        <v>0</v>
      </c>
      <c r="G286" s="230"/>
      <c r="H286" s="229">
        <v>0</v>
      </c>
      <c r="I286" s="229">
        <v>0</v>
      </c>
      <c r="J286" s="229">
        <v>0</v>
      </c>
      <c r="K286" s="229">
        <v>0</v>
      </c>
      <c r="L286" s="229">
        <v>0</v>
      </c>
      <c r="M286" s="229">
        <v>0</v>
      </c>
      <c r="N286" s="229">
        <v>0</v>
      </c>
      <c r="O286" s="229">
        <v>0</v>
      </c>
      <c r="P286" s="230">
        <v>0</v>
      </c>
      <c r="Q286" s="230">
        <v>0</v>
      </c>
      <c r="R286" s="230">
        <f t="shared" si="10"/>
        <v>547375.79</v>
      </c>
      <c r="S286" s="229"/>
    </row>
    <row r="287" spans="1:19" s="231" customFormat="1" ht="12.75" hidden="1" outlineLevel="1">
      <c r="A287" s="229" t="s">
        <v>1125</v>
      </c>
      <c r="B287" s="230"/>
      <c r="C287" s="230" t="s">
        <v>1126</v>
      </c>
      <c r="D287" s="230" t="s">
        <v>1127</v>
      </c>
      <c r="E287" s="230">
        <v>98078.23</v>
      </c>
      <c r="F287" s="230">
        <v>0</v>
      </c>
      <c r="G287" s="230"/>
      <c r="H287" s="229">
        <v>0</v>
      </c>
      <c r="I287" s="229">
        <v>0</v>
      </c>
      <c r="J287" s="229">
        <v>0</v>
      </c>
      <c r="K287" s="229">
        <v>0</v>
      </c>
      <c r="L287" s="229">
        <v>0</v>
      </c>
      <c r="M287" s="229">
        <v>0</v>
      </c>
      <c r="N287" s="229">
        <v>0</v>
      </c>
      <c r="O287" s="229">
        <v>0</v>
      </c>
      <c r="P287" s="230">
        <v>0</v>
      </c>
      <c r="Q287" s="230">
        <v>0</v>
      </c>
      <c r="R287" s="230">
        <f t="shared" si="10"/>
        <v>98078.23</v>
      </c>
      <c r="S287" s="229"/>
    </row>
    <row r="288" spans="1:19" s="231" customFormat="1" ht="12.75" hidden="1" outlineLevel="1">
      <c r="A288" s="229" t="s">
        <v>1128</v>
      </c>
      <c r="B288" s="230"/>
      <c r="C288" s="230" t="s">
        <v>1129</v>
      </c>
      <c r="D288" s="230" t="s">
        <v>1130</v>
      </c>
      <c r="E288" s="230">
        <v>1896.61</v>
      </c>
      <c r="F288" s="230">
        <v>0</v>
      </c>
      <c r="G288" s="230"/>
      <c r="H288" s="229">
        <v>0</v>
      </c>
      <c r="I288" s="229">
        <v>0</v>
      </c>
      <c r="J288" s="229">
        <v>0</v>
      </c>
      <c r="K288" s="229">
        <v>0</v>
      </c>
      <c r="L288" s="229">
        <v>2138.48</v>
      </c>
      <c r="M288" s="229">
        <v>0</v>
      </c>
      <c r="N288" s="229">
        <v>0</v>
      </c>
      <c r="O288" s="229">
        <v>0</v>
      </c>
      <c r="P288" s="230">
        <v>2138.48</v>
      </c>
      <c r="Q288" s="230">
        <v>0</v>
      </c>
      <c r="R288" s="230">
        <f t="shared" si="10"/>
        <v>4035.09</v>
      </c>
      <c r="S288" s="229"/>
    </row>
    <row r="289" spans="1:19" ht="12.75" customHeight="1" collapsed="1">
      <c r="A289" s="212" t="s">
        <v>1137</v>
      </c>
      <c r="B289" s="213"/>
      <c r="C289" s="212" t="s">
        <v>1138</v>
      </c>
      <c r="D289" s="214"/>
      <c r="E289" s="116">
        <v>2906987.92</v>
      </c>
      <c r="F289" s="116">
        <v>0</v>
      </c>
      <c r="G289" s="116">
        <v>266665.24</v>
      </c>
      <c r="H289" s="212">
        <v>20082.27</v>
      </c>
      <c r="I289" s="212">
        <v>0</v>
      </c>
      <c r="J289" s="212">
        <v>0</v>
      </c>
      <c r="K289" s="212">
        <v>0</v>
      </c>
      <c r="L289" s="212">
        <v>2138.48</v>
      </c>
      <c r="M289" s="212">
        <v>13741</v>
      </c>
      <c r="N289" s="212">
        <v>0</v>
      </c>
      <c r="O289" s="212">
        <v>18171.4</v>
      </c>
      <c r="P289" s="116">
        <v>54133.15</v>
      </c>
      <c r="Q289" s="116">
        <v>0</v>
      </c>
      <c r="R289" s="116">
        <f>E289+F289+G289+P289+Q289</f>
        <v>3227786.31</v>
      </c>
      <c r="S289" s="212"/>
    </row>
    <row r="290" spans="1:19" ht="12.75" customHeight="1">
      <c r="A290" s="212" t="s">
        <v>1151</v>
      </c>
      <c r="B290" s="213"/>
      <c r="C290" s="212" t="s">
        <v>1152</v>
      </c>
      <c r="D290" s="214"/>
      <c r="E290" s="116">
        <v>0</v>
      </c>
      <c r="F290" s="116">
        <v>0</v>
      </c>
      <c r="G290" s="116">
        <v>0</v>
      </c>
      <c r="H290" s="212">
        <v>0</v>
      </c>
      <c r="I290" s="212">
        <v>0</v>
      </c>
      <c r="J290" s="212">
        <v>0</v>
      </c>
      <c r="K290" s="212">
        <v>0</v>
      </c>
      <c r="L290" s="212">
        <v>0</v>
      </c>
      <c r="M290" s="212">
        <v>0</v>
      </c>
      <c r="N290" s="212">
        <v>0</v>
      </c>
      <c r="O290" s="212">
        <v>0</v>
      </c>
      <c r="P290" s="116">
        <v>0</v>
      </c>
      <c r="Q290" s="116">
        <v>0</v>
      </c>
      <c r="R290" s="116">
        <f>E290+F290+G290+P290+Q290</f>
        <v>0</v>
      </c>
      <c r="S290" s="212"/>
    </row>
    <row r="291" spans="1:19" ht="12.75" customHeight="1">
      <c r="A291" s="216" t="s">
        <v>2794</v>
      </c>
      <c r="B291" s="217"/>
      <c r="C291" s="211" t="s">
        <v>1153</v>
      </c>
      <c r="D291" s="65"/>
      <c r="E291" s="117">
        <f aca="true" t="shared" si="11" ref="E291:R291">E110+E126+E274+E276+E290+E289</f>
        <v>92643351.302</v>
      </c>
      <c r="F291" s="117">
        <f t="shared" si="11"/>
        <v>1470328.472</v>
      </c>
      <c r="G291" s="117">
        <f t="shared" si="11"/>
        <v>8092684.017999999</v>
      </c>
      <c r="H291" s="216">
        <f t="shared" si="11"/>
        <v>322073.6969999991</v>
      </c>
      <c r="I291" s="216">
        <f t="shared" si="11"/>
        <v>-10411.45200000002</v>
      </c>
      <c r="J291" s="216">
        <f t="shared" si="11"/>
        <v>31625.720999999998</v>
      </c>
      <c r="K291" s="216">
        <f t="shared" si="11"/>
        <v>-86678.73</v>
      </c>
      <c r="L291" s="216">
        <f t="shared" si="11"/>
        <v>-12277.639999999996</v>
      </c>
      <c r="M291" s="216">
        <f t="shared" si="11"/>
        <v>18720.444000000003</v>
      </c>
      <c r="N291" s="216">
        <f t="shared" si="11"/>
        <v>-2236.93</v>
      </c>
      <c r="O291" s="216">
        <f t="shared" si="11"/>
        <v>100587.86199999944</v>
      </c>
      <c r="P291" s="117">
        <f t="shared" si="11"/>
        <v>361402.9719999997</v>
      </c>
      <c r="Q291" s="117">
        <f t="shared" si="11"/>
        <v>0</v>
      </c>
      <c r="R291" s="117">
        <f t="shared" si="11"/>
        <v>102567766.76400001</v>
      </c>
      <c r="S291" s="210"/>
    </row>
    <row r="292" spans="2:18" ht="12.75" customHeight="1">
      <c r="B292" s="217"/>
      <c r="C292" s="218"/>
      <c r="D292" s="74"/>
      <c r="E292" s="116"/>
      <c r="F292" s="116"/>
      <c r="G292" s="116"/>
      <c r="P292" s="116"/>
      <c r="Q292" s="116"/>
      <c r="R292" s="116"/>
    </row>
    <row r="293" spans="1:19" ht="12.75" customHeight="1">
      <c r="A293" s="216" t="s">
        <v>2794</v>
      </c>
      <c r="B293" s="217" t="s">
        <v>1545</v>
      </c>
      <c r="C293" s="218"/>
      <c r="D293" s="74"/>
      <c r="E293" s="117">
        <f aca="true" t="shared" si="12" ref="E293:R293">E94-E291</f>
        <v>-47972623.34200002</v>
      </c>
      <c r="F293" s="117">
        <f t="shared" si="12"/>
        <v>3136917.618</v>
      </c>
      <c r="G293" s="117">
        <f t="shared" si="12"/>
        <v>2356420.0020000003</v>
      </c>
      <c r="H293" s="216">
        <f t="shared" si="12"/>
        <v>-322073.6969999991</v>
      </c>
      <c r="I293" s="216">
        <f t="shared" si="12"/>
        <v>14504.45200000002</v>
      </c>
      <c r="J293" s="216">
        <f t="shared" si="12"/>
        <v>8085.329000000005</v>
      </c>
      <c r="K293" s="216">
        <f t="shared" si="12"/>
        <v>95560.84</v>
      </c>
      <c r="L293" s="216">
        <f t="shared" si="12"/>
        <v>12277.639999999996</v>
      </c>
      <c r="M293" s="216">
        <f t="shared" si="12"/>
        <v>-305.4940000000024</v>
      </c>
      <c r="N293" s="216">
        <f t="shared" si="12"/>
        <v>2236.93</v>
      </c>
      <c r="O293" s="216">
        <f t="shared" si="12"/>
        <v>-100587.86199999944</v>
      </c>
      <c r="P293" s="117">
        <f t="shared" si="12"/>
        <v>-290301.86199999973</v>
      </c>
      <c r="Q293" s="117">
        <f t="shared" si="12"/>
        <v>0</v>
      </c>
      <c r="R293" s="117">
        <f t="shared" si="12"/>
        <v>-42769587.58400002</v>
      </c>
      <c r="S293" s="210"/>
    </row>
    <row r="294" spans="2:18" ht="12.75" customHeight="1">
      <c r="B294" s="213"/>
      <c r="C294" s="212"/>
      <c r="D294" s="214"/>
      <c r="E294" s="116"/>
      <c r="F294" s="116"/>
      <c r="G294" s="116"/>
      <c r="P294" s="116"/>
      <c r="Q294" s="116"/>
      <c r="R294" s="116"/>
    </row>
    <row r="295" spans="1:19" ht="12.75" customHeight="1">
      <c r="A295" s="212" t="s">
        <v>1546</v>
      </c>
      <c r="B295" s="213"/>
      <c r="C295" s="212" t="s">
        <v>2841</v>
      </c>
      <c r="D295" s="214"/>
      <c r="E295" s="116">
        <v>45130412</v>
      </c>
      <c r="F295" s="116">
        <v>0</v>
      </c>
      <c r="G295" s="116">
        <v>0</v>
      </c>
      <c r="H295" s="212">
        <v>0</v>
      </c>
      <c r="I295" s="212">
        <v>0</v>
      </c>
      <c r="J295" s="212">
        <v>0</v>
      </c>
      <c r="K295" s="212">
        <v>0</v>
      </c>
      <c r="L295" s="212">
        <v>0</v>
      </c>
      <c r="M295" s="212">
        <v>0</v>
      </c>
      <c r="N295" s="212">
        <v>0</v>
      </c>
      <c r="O295" s="212">
        <v>0</v>
      </c>
      <c r="P295" s="116">
        <v>0</v>
      </c>
      <c r="Q295" s="116">
        <v>0</v>
      </c>
      <c r="R295" s="116">
        <f>E295+F295+G295+P295+Q295</f>
        <v>45130412</v>
      </c>
      <c r="S295" s="212"/>
    </row>
    <row r="296" spans="2:18" ht="12.75" customHeight="1">
      <c r="B296" s="213"/>
      <c r="C296" s="212"/>
      <c r="D296" s="214"/>
      <c r="E296" s="116"/>
      <c r="F296" s="116"/>
      <c r="G296" s="116"/>
      <c r="P296" s="116"/>
      <c r="Q296" s="116"/>
      <c r="R296" s="116"/>
    </row>
    <row r="297" spans="1:19" ht="12.75" customHeight="1">
      <c r="A297" s="210"/>
      <c r="B297" s="217" t="s">
        <v>1547</v>
      </c>
      <c r="C297" s="218"/>
      <c r="D297" s="214"/>
      <c r="E297" s="116"/>
      <c r="F297" s="116"/>
      <c r="G297" s="116"/>
      <c r="H297" s="210"/>
      <c r="I297" s="210"/>
      <c r="J297" s="210"/>
      <c r="K297" s="210"/>
      <c r="L297" s="210"/>
      <c r="M297" s="210"/>
      <c r="N297" s="210"/>
      <c r="O297" s="210"/>
      <c r="P297" s="116"/>
      <c r="Q297" s="116"/>
      <c r="R297" s="116"/>
      <c r="S297" s="210"/>
    </row>
    <row r="298" spans="1:19" ht="12.75" customHeight="1">
      <c r="A298" s="216" t="s">
        <v>2794</v>
      </c>
      <c r="B298" s="217" t="s">
        <v>1548</v>
      </c>
      <c r="C298" s="218"/>
      <c r="D298" s="74"/>
      <c r="E298" s="117">
        <f aca="true" t="shared" si="13" ref="E298:R298">E293+E295</f>
        <v>-2842211.3420000225</v>
      </c>
      <c r="F298" s="117">
        <f t="shared" si="13"/>
        <v>3136917.618</v>
      </c>
      <c r="G298" s="117">
        <f t="shared" si="13"/>
        <v>2356420.0020000003</v>
      </c>
      <c r="H298" s="216">
        <f t="shared" si="13"/>
        <v>-322073.6969999991</v>
      </c>
      <c r="I298" s="216">
        <f t="shared" si="13"/>
        <v>14504.45200000002</v>
      </c>
      <c r="J298" s="216">
        <f t="shared" si="13"/>
        <v>8085.329000000005</v>
      </c>
      <c r="K298" s="216">
        <f t="shared" si="13"/>
        <v>95560.84</v>
      </c>
      <c r="L298" s="216">
        <f t="shared" si="13"/>
        <v>12277.639999999996</v>
      </c>
      <c r="M298" s="216">
        <f t="shared" si="13"/>
        <v>-305.4940000000024</v>
      </c>
      <c r="N298" s="216">
        <f t="shared" si="13"/>
        <v>2236.93</v>
      </c>
      <c r="O298" s="216">
        <f t="shared" si="13"/>
        <v>-100587.86199999944</v>
      </c>
      <c r="P298" s="117">
        <f t="shared" si="13"/>
        <v>-290301.86199999973</v>
      </c>
      <c r="Q298" s="117">
        <f t="shared" si="13"/>
        <v>0</v>
      </c>
      <c r="R298" s="117">
        <f t="shared" si="13"/>
        <v>2360824.415999979</v>
      </c>
      <c r="S298" s="210"/>
    </row>
    <row r="299" spans="2:18" ht="12.75" customHeight="1">
      <c r="B299" s="213"/>
      <c r="C299" s="212"/>
      <c r="D299" s="214"/>
      <c r="E299" s="116"/>
      <c r="F299" s="116"/>
      <c r="G299" s="116"/>
      <c r="P299" s="116"/>
      <c r="Q299" s="116"/>
      <c r="R299" s="116"/>
    </row>
    <row r="300" spans="1:19" ht="12.75" customHeight="1">
      <c r="A300" s="210"/>
      <c r="B300" s="217" t="s">
        <v>1549</v>
      </c>
      <c r="C300" s="218"/>
      <c r="D300" s="74"/>
      <c r="E300" s="116"/>
      <c r="F300" s="116"/>
      <c r="G300" s="116"/>
      <c r="H300" s="210"/>
      <c r="I300" s="210"/>
      <c r="J300" s="210"/>
      <c r="K300" s="210"/>
      <c r="L300" s="210"/>
      <c r="M300" s="210"/>
      <c r="N300" s="210"/>
      <c r="O300" s="210"/>
      <c r="P300" s="116"/>
      <c r="Q300" s="116"/>
      <c r="R300" s="116"/>
      <c r="S300" s="210"/>
    </row>
    <row r="301" spans="1:19" ht="12.75" customHeight="1">
      <c r="A301" s="212" t="s">
        <v>1154</v>
      </c>
      <c r="B301" s="213"/>
      <c r="C301" s="212" t="s">
        <v>2843</v>
      </c>
      <c r="D301" s="214"/>
      <c r="E301" s="116">
        <v>0</v>
      </c>
      <c r="F301" s="116">
        <v>0</v>
      </c>
      <c r="G301" s="116">
        <v>0</v>
      </c>
      <c r="H301" s="212">
        <v>0</v>
      </c>
      <c r="I301" s="212">
        <v>0</v>
      </c>
      <c r="J301" s="212">
        <v>0</v>
      </c>
      <c r="K301" s="212">
        <v>0</v>
      </c>
      <c r="L301" s="212">
        <v>0</v>
      </c>
      <c r="M301" s="212">
        <v>0</v>
      </c>
      <c r="N301" s="212">
        <v>0</v>
      </c>
      <c r="O301" s="212">
        <v>0</v>
      </c>
      <c r="P301" s="116">
        <v>0</v>
      </c>
      <c r="Q301" s="116">
        <v>0</v>
      </c>
      <c r="R301" s="116">
        <f aca="true" t="shared" si="14" ref="R301:R310">E301+F301+G301+P301+Q301</f>
        <v>0</v>
      </c>
      <c r="S301" s="212"/>
    </row>
    <row r="302" spans="1:19" s="231" customFormat="1" ht="12.75" hidden="1" outlineLevel="1">
      <c r="A302" s="229" t="s">
        <v>1167</v>
      </c>
      <c r="B302" s="230"/>
      <c r="C302" s="230" t="s">
        <v>1168</v>
      </c>
      <c r="D302" s="230" t="s">
        <v>1169</v>
      </c>
      <c r="E302" s="230">
        <v>15622.28</v>
      </c>
      <c r="F302" s="230">
        <v>0</v>
      </c>
      <c r="G302" s="230"/>
      <c r="H302" s="229">
        <v>0</v>
      </c>
      <c r="I302" s="229">
        <v>0</v>
      </c>
      <c r="J302" s="229">
        <v>0</v>
      </c>
      <c r="K302" s="229">
        <v>0</v>
      </c>
      <c r="L302" s="229">
        <v>0</v>
      </c>
      <c r="M302" s="229">
        <v>0</v>
      </c>
      <c r="N302" s="229">
        <v>0</v>
      </c>
      <c r="O302" s="229">
        <v>0</v>
      </c>
      <c r="P302" s="230">
        <v>0</v>
      </c>
      <c r="Q302" s="230">
        <v>0</v>
      </c>
      <c r="R302" s="230">
        <f t="shared" si="14"/>
        <v>15622.28</v>
      </c>
      <c r="S302" s="229"/>
    </row>
    <row r="303" spans="1:19" s="231" customFormat="1" ht="12.75" hidden="1" outlineLevel="1">
      <c r="A303" s="229" t="s">
        <v>1170</v>
      </c>
      <c r="B303" s="230"/>
      <c r="C303" s="230" t="s">
        <v>1171</v>
      </c>
      <c r="D303" s="230" t="s">
        <v>1172</v>
      </c>
      <c r="E303" s="230">
        <v>-987.74</v>
      </c>
      <c r="F303" s="230">
        <v>0</v>
      </c>
      <c r="G303" s="230"/>
      <c r="H303" s="229">
        <v>0</v>
      </c>
      <c r="I303" s="229">
        <v>0</v>
      </c>
      <c r="J303" s="229">
        <v>0</v>
      </c>
      <c r="K303" s="229">
        <v>0</v>
      </c>
      <c r="L303" s="229">
        <v>0</v>
      </c>
      <c r="M303" s="229">
        <v>0</v>
      </c>
      <c r="N303" s="229">
        <v>0</v>
      </c>
      <c r="O303" s="229">
        <v>0</v>
      </c>
      <c r="P303" s="230">
        <v>0</v>
      </c>
      <c r="Q303" s="230">
        <v>0</v>
      </c>
      <c r="R303" s="230">
        <f t="shared" si="14"/>
        <v>-987.74</v>
      </c>
      <c r="S303" s="229"/>
    </row>
    <row r="304" spans="1:19" s="231" customFormat="1" ht="12.75" hidden="1" outlineLevel="1">
      <c r="A304" s="229" t="s">
        <v>1179</v>
      </c>
      <c r="B304" s="230"/>
      <c r="C304" s="230" t="s">
        <v>1180</v>
      </c>
      <c r="D304" s="230" t="s">
        <v>1181</v>
      </c>
      <c r="E304" s="230">
        <v>216649.35</v>
      </c>
      <c r="F304" s="230">
        <v>0</v>
      </c>
      <c r="G304" s="230"/>
      <c r="H304" s="229">
        <v>0</v>
      </c>
      <c r="I304" s="229">
        <v>0</v>
      </c>
      <c r="J304" s="229">
        <v>0</v>
      </c>
      <c r="K304" s="229">
        <v>0</v>
      </c>
      <c r="L304" s="229">
        <v>0</v>
      </c>
      <c r="M304" s="229">
        <v>0</v>
      </c>
      <c r="N304" s="229">
        <v>0</v>
      </c>
      <c r="O304" s="229">
        <v>0</v>
      </c>
      <c r="P304" s="230">
        <v>0</v>
      </c>
      <c r="Q304" s="230">
        <v>0</v>
      </c>
      <c r="R304" s="230">
        <f t="shared" si="14"/>
        <v>216649.35</v>
      </c>
      <c r="S304" s="229"/>
    </row>
    <row r="305" spans="1:19" s="231" customFormat="1" ht="12.75" hidden="1" outlineLevel="1">
      <c r="A305" s="229" t="s">
        <v>1185</v>
      </c>
      <c r="B305" s="230"/>
      <c r="C305" s="230" t="s">
        <v>1186</v>
      </c>
      <c r="D305" s="230" t="s">
        <v>1187</v>
      </c>
      <c r="E305" s="230">
        <v>-496.59</v>
      </c>
      <c r="F305" s="230">
        <v>0</v>
      </c>
      <c r="G305" s="230"/>
      <c r="H305" s="229">
        <v>0</v>
      </c>
      <c r="I305" s="229">
        <v>0</v>
      </c>
      <c r="J305" s="229">
        <v>0</v>
      </c>
      <c r="K305" s="229">
        <v>0</v>
      </c>
      <c r="L305" s="229">
        <v>0</v>
      </c>
      <c r="M305" s="229">
        <v>0</v>
      </c>
      <c r="N305" s="229">
        <v>0</v>
      </c>
      <c r="O305" s="229">
        <v>0</v>
      </c>
      <c r="P305" s="230">
        <v>0</v>
      </c>
      <c r="Q305" s="230">
        <v>0</v>
      </c>
      <c r="R305" s="230">
        <f t="shared" si="14"/>
        <v>-496.59</v>
      </c>
      <c r="S305" s="229"/>
    </row>
    <row r="306" spans="1:19" ht="12.75" customHeight="1" collapsed="1">
      <c r="A306" s="212" t="s">
        <v>1191</v>
      </c>
      <c r="B306" s="213"/>
      <c r="C306" s="212" t="s">
        <v>1192</v>
      </c>
      <c r="D306" s="214"/>
      <c r="E306" s="116">
        <v>230787.3</v>
      </c>
      <c r="F306" s="116">
        <v>0</v>
      </c>
      <c r="G306" s="116">
        <v>58753.98</v>
      </c>
      <c r="H306" s="212">
        <v>0</v>
      </c>
      <c r="I306" s="212">
        <v>0</v>
      </c>
      <c r="J306" s="212">
        <v>0</v>
      </c>
      <c r="K306" s="212">
        <v>0</v>
      </c>
      <c r="L306" s="212">
        <v>0</v>
      </c>
      <c r="M306" s="212">
        <v>0</v>
      </c>
      <c r="N306" s="212">
        <v>0</v>
      </c>
      <c r="O306" s="212">
        <v>0</v>
      </c>
      <c r="P306" s="116">
        <v>0</v>
      </c>
      <c r="Q306" s="116">
        <v>0</v>
      </c>
      <c r="R306" s="116">
        <f t="shared" si="14"/>
        <v>289541.27999999997</v>
      </c>
      <c r="S306" s="212"/>
    </row>
    <row r="307" spans="1:19" ht="12.75" customHeight="1">
      <c r="A307" s="212" t="s">
        <v>1550</v>
      </c>
      <c r="B307" s="213"/>
      <c r="C307" s="212" t="s">
        <v>2845</v>
      </c>
      <c r="D307" s="214"/>
      <c r="E307" s="116">
        <v>290714.71</v>
      </c>
      <c r="F307" s="116">
        <v>50</v>
      </c>
      <c r="G307" s="116">
        <v>0</v>
      </c>
      <c r="H307" s="212">
        <v>0</v>
      </c>
      <c r="I307" s="212">
        <v>0</v>
      </c>
      <c r="J307" s="212">
        <v>0</v>
      </c>
      <c r="K307" s="212">
        <v>0</v>
      </c>
      <c r="L307" s="212">
        <v>0</v>
      </c>
      <c r="M307" s="212">
        <v>0</v>
      </c>
      <c r="N307" s="212">
        <v>0</v>
      </c>
      <c r="O307" s="212">
        <v>0</v>
      </c>
      <c r="P307" s="116">
        <v>0</v>
      </c>
      <c r="Q307" s="116">
        <v>0</v>
      </c>
      <c r="R307" s="116">
        <f t="shared" si="14"/>
        <v>290764.71</v>
      </c>
      <c r="S307" s="212"/>
    </row>
    <row r="308" spans="1:19" ht="12.75" customHeight="1">
      <c r="A308" s="212" t="s">
        <v>1211</v>
      </c>
      <c r="B308" s="213"/>
      <c r="C308" s="212" t="s">
        <v>2846</v>
      </c>
      <c r="D308" s="214"/>
      <c r="E308" s="116">
        <v>0</v>
      </c>
      <c r="F308" s="116">
        <v>0</v>
      </c>
      <c r="G308" s="116">
        <v>0</v>
      </c>
      <c r="H308" s="212">
        <v>0</v>
      </c>
      <c r="I308" s="212">
        <v>0</v>
      </c>
      <c r="J308" s="212">
        <v>0</v>
      </c>
      <c r="K308" s="212">
        <v>0</v>
      </c>
      <c r="L308" s="212">
        <v>0</v>
      </c>
      <c r="M308" s="212">
        <v>0</v>
      </c>
      <c r="N308" s="212">
        <v>0</v>
      </c>
      <c r="O308" s="212">
        <v>0</v>
      </c>
      <c r="P308" s="116">
        <v>0</v>
      </c>
      <c r="Q308" s="116">
        <v>0</v>
      </c>
      <c r="R308" s="116">
        <f t="shared" si="14"/>
        <v>0</v>
      </c>
      <c r="S308" s="212"/>
    </row>
    <row r="309" spans="1:19" ht="12.75" customHeight="1">
      <c r="A309" s="212" t="s">
        <v>1212</v>
      </c>
      <c r="B309" s="213"/>
      <c r="C309" s="212" t="s">
        <v>1213</v>
      </c>
      <c r="D309" s="214"/>
      <c r="E309" s="116">
        <v>0</v>
      </c>
      <c r="F309" s="116">
        <v>0</v>
      </c>
      <c r="G309" s="116">
        <v>0</v>
      </c>
      <c r="H309" s="212">
        <v>0</v>
      </c>
      <c r="I309" s="212">
        <v>0</v>
      </c>
      <c r="J309" s="212">
        <v>0</v>
      </c>
      <c r="K309" s="212">
        <v>0</v>
      </c>
      <c r="L309" s="212">
        <v>0</v>
      </c>
      <c r="M309" s="212">
        <v>0</v>
      </c>
      <c r="N309" s="212">
        <v>0</v>
      </c>
      <c r="O309" s="212">
        <v>0</v>
      </c>
      <c r="P309" s="116">
        <v>0</v>
      </c>
      <c r="Q309" s="116">
        <v>0</v>
      </c>
      <c r="R309" s="116">
        <f t="shared" si="14"/>
        <v>0</v>
      </c>
      <c r="S309" s="212"/>
    </row>
    <row r="310" spans="1:19" ht="12.75" customHeight="1">
      <c r="A310" s="212" t="s">
        <v>1217</v>
      </c>
      <c r="B310" s="213"/>
      <c r="C310" s="212" t="s">
        <v>1218</v>
      </c>
      <c r="D310" s="214"/>
      <c r="E310" s="116">
        <v>0</v>
      </c>
      <c r="F310" s="116">
        <v>0</v>
      </c>
      <c r="G310" s="116">
        <v>0</v>
      </c>
      <c r="H310" s="212">
        <v>0</v>
      </c>
      <c r="I310" s="212">
        <v>0</v>
      </c>
      <c r="J310" s="212">
        <v>0</v>
      </c>
      <c r="K310" s="212">
        <v>0</v>
      </c>
      <c r="L310" s="212">
        <v>0</v>
      </c>
      <c r="M310" s="212">
        <v>0</v>
      </c>
      <c r="N310" s="212">
        <v>0</v>
      </c>
      <c r="O310" s="212">
        <v>0</v>
      </c>
      <c r="P310" s="116">
        <v>0</v>
      </c>
      <c r="Q310" s="116">
        <v>0</v>
      </c>
      <c r="R310" s="116">
        <f t="shared" si="14"/>
        <v>0</v>
      </c>
      <c r="S310" s="212"/>
    </row>
    <row r="311" spans="2:18" ht="12.75" customHeight="1">
      <c r="B311" s="213"/>
      <c r="C311" s="212"/>
      <c r="D311" s="214"/>
      <c r="E311" s="116"/>
      <c r="F311" s="116"/>
      <c r="G311" s="116"/>
      <c r="P311" s="116"/>
      <c r="Q311" s="116"/>
      <c r="R311" s="116"/>
    </row>
    <row r="312" spans="1:19" s="261" customFormat="1" ht="12.75" customHeight="1">
      <c r="A312" s="216"/>
      <c r="B312" s="217"/>
      <c r="C312" s="218" t="s">
        <v>1551</v>
      </c>
      <c r="D312" s="74"/>
      <c r="E312" s="117"/>
      <c r="F312" s="117"/>
      <c r="G312" s="117"/>
      <c r="H312" s="216"/>
      <c r="I312" s="216"/>
      <c r="J312" s="216"/>
      <c r="K312" s="216"/>
      <c r="L312" s="216"/>
      <c r="M312" s="216"/>
      <c r="N312" s="216"/>
      <c r="O312" s="216"/>
      <c r="P312" s="117"/>
      <c r="Q312" s="117"/>
      <c r="R312" s="117"/>
      <c r="S312" s="216"/>
    </row>
    <row r="313" spans="1:19" s="261" customFormat="1" ht="12.75" customHeight="1">
      <c r="A313" s="216" t="s">
        <v>2794</v>
      </c>
      <c r="B313" s="217"/>
      <c r="C313" s="218" t="s">
        <v>1552</v>
      </c>
      <c r="D313" s="74"/>
      <c r="E313" s="117">
        <f aca="true" t="shared" si="15" ref="E313:R313">E310+E308+E307+E306+E301+E309</f>
        <v>521502.01</v>
      </c>
      <c r="F313" s="117">
        <f t="shared" si="15"/>
        <v>50</v>
      </c>
      <c r="G313" s="117">
        <f t="shared" si="15"/>
        <v>58753.98</v>
      </c>
      <c r="H313" s="216">
        <f t="shared" si="15"/>
        <v>0</v>
      </c>
      <c r="I313" s="216">
        <f t="shared" si="15"/>
        <v>0</v>
      </c>
      <c r="J313" s="216">
        <f t="shared" si="15"/>
        <v>0</v>
      </c>
      <c r="K313" s="216">
        <f t="shared" si="15"/>
        <v>0</v>
      </c>
      <c r="L313" s="216">
        <f t="shared" si="15"/>
        <v>0</v>
      </c>
      <c r="M313" s="216">
        <f t="shared" si="15"/>
        <v>0</v>
      </c>
      <c r="N313" s="216">
        <f t="shared" si="15"/>
        <v>0</v>
      </c>
      <c r="O313" s="216">
        <f t="shared" si="15"/>
        <v>0</v>
      </c>
      <c r="P313" s="117">
        <f t="shared" si="15"/>
        <v>0</v>
      </c>
      <c r="Q313" s="117">
        <f t="shared" si="15"/>
        <v>0</v>
      </c>
      <c r="R313" s="117">
        <f t="shared" si="15"/>
        <v>580305.99</v>
      </c>
      <c r="S313" s="216"/>
    </row>
    <row r="314" spans="2:18" ht="12.75" customHeight="1">
      <c r="B314" s="213"/>
      <c r="C314" s="212"/>
      <c r="D314" s="214"/>
      <c r="E314" s="116"/>
      <c r="F314" s="116"/>
      <c r="G314" s="116"/>
      <c r="P314" s="116"/>
      <c r="Q314" s="116"/>
      <c r="R314" s="116"/>
    </row>
    <row r="315" spans="1:19" ht="12.75" customHeight="1">
      <c r="A315" s="212"/>
      <c r="B315" s="213"/>
      <c r="C315" s="212" t="s">
        <v>2848</v>
      </c>
      <c r="D315" s="214"/>
      <c r="E315" s="116">
        <v>0</v>
      </c>
      <c r="F315" s="116">
        <v>0</v>
      </c>
      <c r="G315" s="116">
        <v>0</v>
      </c>
      <c r="H315" s="212"/>
      <c r="I315" s="212"/>
      <c r="J315" s="212"/>
      <c r="K315" s="212"/>
      <c r="L315" s="212"/>
      <c r="M315" s="212"/>
      <c r="N315" s="212"/>
      <c r="O315" s="212"/>
      <c r="P315" s="116">
        <v>0</v>
      </c>
      <c r="Q315" s="116">
        <v>0</v>
      </c>
      <c r="R315" s="116">
        <f>E315+F315+G315+P315+Q315</f>
        <v>0</v>
      </c>
      <c r="S315" s="212"/>
    </row>
    <row r="316" spans="1:19" ht="12.75" customHeight="1">
      <c r="A316" s="212"/>
      <c r="B316" s="213"/>
      <c r="C316" s="212" t="s">
        <v>1219</v>
      </c>
      <c r="D316" s="214"/>
      <c r="E316" s="116">
        <v>0</v>
      </c>
      <c r="F316" s="116">
        <v>0</v>
      </c>
      <c r="G316" s="116">
        <v>0</v>
      </c>
      <c r="H316" s="212"/>
      <c r="I316" s="212"/>
      <c r="J316" s="212"/>
      <c r="K316" s="212"/>
      <c r="L316" s="212"/>
      <c r="M316" s="212"/>
      <c r="N316" s="212"/>
      <c r="O316" s="212"/>
      <c r="P316" s="116">
        <v>0</v>
      </c>
      <c r="Q316" s="116">
        <v>0</v>
      </c>
      <c r="R316" s="116">
        <f>E316+F316+G316+P316+Q316</f>
        <v>0</v>
      </c>
      <c r="S316" s="212"/>
    </row>
    <row r="317" spans="1:19" ht="12.75" customHeight="1">
      <c r="A317" s="223"/>
      <c r="B317" s="213"/>
      <c r="C317" s="212" t="s">
        <v>1220</v>
      </c>
      <c r="D317" s="214"/>
      <c r="E317" s="116">
        <v>0</v>
      </c>
      <c r="F317" s="116">
        <v>0</v>
      </c>
      <c r="G317" s="116">
        <v>0</v>
      </c>
      <c r="H317" s="223"/>
      <c r="I317" s="223"/>
      <c r="J317" s="223"/>
      <c r="K317" s="223"/>
      <c r="L317" s="223"/>
      <c r="M317" s="223"/>
      <c r="N317" s="223"/>
      <c r="O317" s="223"/>
      <c r="P317" s="116">
        <v>0</v>
      </c>
      <c r="Q317" s="116">
        <v>0</v>
      </c>
      <c r="R317" s="116">
        <f>E317+F317+G317+P317+Q317</f>
        <v>0</v>
      </c>
      <c r="S317" s="223"/>
    </row>
    <row r="318" spans="1:19" ht="12.75" customHeight="1">
      <c r="A318" s="223" t="s">
        <v>2792</v>
      </c>
      <c r="B318" s="213"/>
      <c r="C318" s="212" t="s">
        <v>2850</v>
      </c>
      <c r="D318" s="214"/>
      <c r="E318" s="116">
        <v>0</v>
      </c>
      <c r="F318" s="116">
        <v>0</v>
      </c>
      <c r="G318" s="116">
        <v>0</v>
      </c>
      <c r="H318" s="223"/>
      <c r="I318" s="223"/>
      <c r="J318" s="223"/>
      <c r="K318" s="223"/>
      <c r="L318" s="223"/>
      <c r="M318" s="223"/>
      <c r="N318" s="223"/>
      <c r="O318" s="223"/>
      <c r="P318" s="116">
        <v>0</v>
      </c>
      <c r="Q318" s="116">
        <v>0</v>
      </c>
      <c r="R318" s="116">
        <f>E318+F318+G318+P318+Q318</f>
        <v>0</v>
      </c>
      <c r="S318" s="223"/>
    </row>
    <row r="319" spans="1:19" s="253" customFormat="1" ht="12.75" customHeight="1">
      <c r="A319" s="200"/>
      <c r="B319" s="217"/>
      <c r="C319" s="218"/>
      <c r="D319" s="74"/>
      <c r="E319" s="117"/>
      <c r="F319" s="117"/>
      <c r="G319" s="117"/>
      <c r="H319" s="200"/>
      <c r="I319" s="200"/>
      <c r="J319" s="200"/>
      <c r="K319" s="200"/>
      <c r="L319" s="200"/>
      <c r="M319" s="200"/>
      <c r="N319" s="200"/>
      <c r="O319" s="200"/>
      <c r="P319" s="117"/>
      <c r="Q319" s="117"/>
      <c r="R319" s="117"/>
      <c r="S319" s="200"/>
    </row>
    <row r="320" spans="1:19" s="253" customFormat="1" ht="12.75" customHeight="1">
      <c r="A320" s="200"/>
      <c r="B320" s="217"/>
      <c r="C320" s="211" t="s">
        <v>1553</v>
      </c>
      <c r="D320" s="74"/>
      <c r="E320" s="117"/>
      <c r="F320" s="117"/>
      <c r="G320" s="117"/>
      <c r="H320" s="200"/>
      <c r="I320" s="200"/>
      <c r="J320" s="200"/>
      <c r="K320" s="200"/>
      <c r="L320" s="200"/>
      <c r="M320" s="200"/>
      <c r="N320" s="200"/>
      <c r="O320" s="200"/>
      <c r="P320" s="117"/>
      <c r="Q320" s="117"/>
      <c r="R320" s="117"/>
      <c r="S320" s="200"/>
    </row>
    <row r="321" spans="1:19" s="261" customFormat="1" ht="12.75" customHeight="1">
      <c r="A321" s="216" t="s">
        <v>2794</v>
      </c>
      <c r="B321" s="217"/>
      <c r="C321" s="211" t="s">
        <v>1554</v>
      </c>
      <c r="D321" s="65"/>
      <c r="E321" s="117">
        <f aca="true" t="shared" si="16" ref="E321:R321">E313+E315+E316+E317+E318</f>
        <v>521502.01</v>
      </c>
      <c r="F321" s="117">
        <f t="shared" si="16"/>
        <v>50</v>
      </c>
      <c r="G321" s="117">
        <f t="shared" si="16"/>
        <v>58753.98</v>
      </c>
      <c r="H321" s="216">
        <f t="shared" si="16"/>
        <v>0</v>
      </c>
      <c r="I321" s="216">
        <f t="shared" si="16"/>
        <v>0</v>
      </c>
      <c r="J321" s="216">
        <f t="shared" si="16"/>
        <v>0</v>
      </c>
      <c r="K321" s="216">
        <f t="shared" si="16"/>
        <v>0</v>
      </c>
      <c r="L321" s="216">
        <f t="shared" si="16"/>
        <v>0</v>
      </c>
      <c r="M321" s="216">
        <f t="shared" si="16"/>
        <v>0</v>
      </c>
      <c r="N321" s="216">
        <f t="shared" si="16"/>
        <v>0</v>
      </c>
      <c r="O321" s="216">
        <f t="shared" si="16"/>
        <v>0</v>
      </c>
      <c r="P321" s="117">
        <f t="shared" si="16"/>
        <v>0</v>
      </c>
      <c r="Q321" s="117">
        <f t="shared" si="16"/>
        <v>0</v>
      </c>
      <c r="R321" s="117">
        <f t="shared" si="16"/>
        <v>580305.99</v>
      </c>
      <c r="S321" s="216"/>
    </row>
    <row r="322" spans="1:19" ht="12.75" customHeight="1">
      <c r="A322" s="210"/>
      <c r="B322" s="213"/>
      <c r="C322" s="212"/>
      <c r="D322" s="214"/>
      <c r="E322" s="116"/>
      <c r="F322" s="116"/>
      <c r="G322" s="116"/>
      <c r="H322" s="210"/>
      <c r="I322" s="210"/>
      <c r="J322" s="210"/>
      <c r="K322" s="210"/>
      <c r="L322" s="210"/>
      <c r="M322" s="210"/>
      <c r="N322" s="210"/>
      <c r="O322" s="210"/>
      <c r="P322" s="116"/>
      <c r="Q322" s="116"/>
      <c r="R322" s="116"/>
      <c r="S322" s="210"/>
    </row>
    <row r="323" spans="1:19" s="231" customFormat="1" ht="12.75" hidden="1" outlineLevel="1">
      <c r="A323" s="229" t="s">
        <v>1234</v>
      </c>
      <c r="B323" s="230"/>
      <c r="C323" s="230" t="s">
        <v>1235</v>
      </c>
      <c r="D323" s="230" t="s">
        <v>1236</v>
      </c>
      <c r="E323" s="230">
        <v>-139836</v>
      </c>
      <c r="F323" s="230">
        <v>0</v>
      </c>
      <c r="G323" s="230"/>
      <c r="H323" s="229">
        <v>0</v>
      </c>
      <c r="I323" s="229">
        <v>0</v>
      </c>
      <c r="J323" s="229">
        <v>0</v>
      </c>
      <c r="K323" s="229">
        <v>0</v>
      </c>
      <c r="L323" s="229">
        <v>0</v>
      </c>
      <c r="M323" s="229">
        <v>0</v>
      </c>
      <c r="N323" s="229">
        <v>0</v>
      </c>
      <c r="O323" s="229">
        <v>0</v>
      </c>
      <c r="P323" s="230">
        <v>0</v>
      </c>
      <c r="Q323" s="230">
        <v>0</v>
      </c>
      <c r="R323" s="230">
        <f aca="true" t="shared" si="17" ref="R323:R336">E323+F323+G323+P323+Q323</f>
        <v>-139836</v>
      </c>
      <c r="S323" s="229"/>
    </row>
    <row r="324" spans="1:19" ht="12.75" customHeight="1" collapsed="1">
      <c r="A324" s="212" t="s">
        <v>1240</v>
      </c>
      <c r="B324" s="213"/>
      <c r="C324" s="212" t="s">
        <v>2851</v>
      </c>
      <c r="D324" s="214"/>
      <c r="E324" s="116">
        <v>-139836</v>
      </c>
      <c r="F324" s="116">
        <v>0</v>
      </c>
      <c r="G324" s="116">
        <v>-2013468</v>
      </c>
      <c r="H324" s="212">
        <v>0</v>
      </c>
      <c r="I324" s="212">
        <v>0</v>
      </c>
      <c r="J324" s="212">
        <v>0</v>
      </c>
      <c r="K324" s="212">
        <v>0</v>
      </c>
      <c r="L324" s="212">
        <v>0</v>
      </c>
      <c r="M324" s="212">
        <v>0</v>
      </c>
      <c r="N324" s="212">
        <v>0</v>
      </c>
      <c r="O324" s="212">
        <v>0</v>
      </c>
      <c r="P324" s="116">
        <v>0</v>
      </c>
      <c r="Q324" s="116">
        <v>0</v>
      </c>
      <c r="R324" s="116">
        <f t="shared" si="17"/>
        <v>-2153304</v>
      </c>
      <c r="S324" s="212"/>
    </row>
    <row r="325" spans="1:19" s="231" customFormat="1" ht="12.75" hidden="1" outlineLevel="1">
      <c r="A325" s="229" t="s">
        <v>2153</v>
      </c>
      <c r="B325" s="230"/>
      <c r="C325" s="230" t="s">
        <v>2154</v>
      </c>
      <c r="D325" s="230" t="s">
        <v>2155</v>
      </c>
      <c r="E325" s="230">
        <v>-860072.02</v>
      </c>
      <c r="F325" s="230">
        <v>0</v>
      </c>
      <c r="G325" s="230"/>
      <c r="H325" s="229">
        <v>0</v>
      </c>
      <c r="I325" s="229">
        <v>0</v>
      </c>
      <c r="J325" s="229">
        <v>-3232.88</v>
      </c>
      <c r="K325" s="229">
        <v>0</v>
      </c>
      <c r="L325" s="229">
        <v>0</v>
      </c>
      <c r="M325" s="229">
        <v>-9060.71</v>
      </c>
      <c r="N325" s="229">
        <v>0</v>
      </c>
      <c r="O325" s="229">
        <v>0</v>
      </c>
      <c r="P325" s="230">
        <v>-12293.59</v>
      </c>
      <c r="Q325" s="230">
        <v>0</v>
      </c>
      <c r="R325" s="230">
        <f t="shared" si="17"/>
        <v>-872365.61</v>
      </c>
      <c r="S325" s="229"/>
    </row>
    <row r="326" spans="1:19" s="231" customFormat="1" ht="12.75" hidden="1" outlineLevel="1">
      <c r="A326" s="229" t="s">
        <v>2156</v>
      </c>
      <c r="B326" s="230"/>
      <c r="C326" s="230" t="s">
        <v>2157</v>
      </c>
      <c r="D326" s="230" t="s">
        <v>2158</v>
      </c>
      <c r="E326" s="230">
        <v>-9854.66</v>
      </c>
      <c r="F326" s="230">
        <v>0</v>
      </c>
      <c r="G326" s="230"/>
      <c r="H326" s="229">
        <v>0</v>
      </c>
      <c r="I326" s="229">
        <v>0</v>
      </c>
      <c r="J326" s="229">
        <v>0</v>
      </c>
      <c r="K326" s="229">
        <v>0</v>
      </c>
      <c r="L326" s="229">
        <v>0</v>
      </c>
      <c r="M326" s="229">
        <v>0</v>
      </c>
      <c r="N326" s="229">
        <v>0</v>
      </c>
      <c r="O326" s="229">
        <v>0</v>
      </c>
      <c r="P326" s="230">
        <v>0</v>
      </c>
      <c r="Q326" s="230">
        <v>0</v>
      </c>
      <c r="R326" s="230">
        <f t="shared" si="17"/>
        <v>-9854.66</v>
      </c>
      <c r="S326" s="229"/>
    </row>
    <row r="327" spans="1:19" s="231" customFormat="1" ht="12.75" hidden="1" outlineLevel="1">
      <c r="A327" s="229" t="s">
        <v>2162</v>
      </c>
      <c r="B327" s="230"/>
      <c r="C327" s="230" t="s">
        <v>2163</v>
      </c>
      <c r="D327" s="230" t="s">
        <v>2164</v>
      </c>
      <c r="E327" s="230">
        <v>-25000</v>
      </c>
      <c r="F327" s="230">
        <v>0</v>
      </c>
      <c r="G327" s="230"/>
      <c r="H327" s="229">
        <v>0</v>
      </c>
      <c r="I327" s="229">
        <v>0</v>
      </c>
      <c r="J327" s="229">
        <v>0</v>
      </c>
      <c r="K327" s="229">
        <v>0</v>
      </c>
      <c r="L327" s="229">
        <v>0</v>
      </c>
      <c r="M327" s="229">
        <v>0</v>
      </c>
      <c r="N327" s="229">
        <v>0</v>
      </c>
      <c r="O327" s="229">
        <v>0</v>
      </c>
      <c r="P327" s="230">
        <v>0</v>
      </c>
      <c r="Q327" s="230">
        <v>0</v>
      </c>
      <c r="R327" s="230">
        <f t="shared" si="17"/>
        <v>-25000</v>
      </c>
      <c r="S327" s="229"/>
    </row>
    <row r="328" spans="1:19" ht="12.75" customHeight="1" collapsed="1">
      <c r="A328" s="212" t="s">
        <v>2165</v>
      </c>
      <c r="B328" s="213"/>
      <c r="C328" s="212" t="s">
        <v>2852</v>
      </c>
      <c r="D328" s="214"/>
      <c r="E328" s="116">
        <v>-894926.68</v>
      </c>
      <c r="F328" s="116">
        <v>0</v>
      </c>
      <c r="G328" s="116">
        <v>-997785.5</v>
      </c>
      <c r="H328" s="212">
        <v>0</v>
      </c>
      <c r="I328" s="212">
        <v>0</v>
      </c>
      <c r="J328" s="212">
        <v>-3232.88</v>
      </c>
      <c r="K328" s="212">
        <v>0</v>
      </c>
      <c r="L328" s="212">
        <v>0</v>
      </c>
      <c r="M328" s="212">
        <v>-9060.71</v>
      </c>
      <c r="N328" s="212">
        <v>0</v>
      </c>
      <c r="O328" s="212">
        <v>0</v>
      </c>
      <c r="P328" s="116">
        <v>-12293.59</v>
      </c>
      <c r="Q328" s="116">
        <v>0</v>
      </c>
      <c r="R328" s="116">
        <f t="shared" si="17"/>
        <v>-1905005.7700000003</v>
      </c>
      <c r="S328" s="212"/>
    </row>
    <row r="329" spans="1:19" s="231" customFormat="1" ht="12.75" hidden="1" outlineLevel="1">
      <c r="A329" s="229" t="s">
        <v>2166</v>
      </c>
      <c r="B329" s="230"/>
      <c r="C329" s="230" t="s">
        <v>2167</v>
      </c>
      <c r="D329" s="230" t="s">
        <v>2168</v>
      </c>
      <c r="E329" s="230">
        <v>2776736.25</v>
      </c>
      <c r="F329" s="230">
        <v>-2758603.81</v>
      </c>
      <c r="G329" s="230"/>
      <c r="H329" s="229">
        <v>0</v>
      </c>
      <c r="I329" s="229">
        <v>0</v>
      </c>
      <c r="J329" s="229">
        <v>0</v>
      </c>
      <c r="K329" s="229">
        <v>0</v>
      </c>
      <c r="L329" s="229">
        <v>0</v>
      </c>
      <c r="M329" s="229">
        <v>0</v>
      </c>
      <c r="N329" s="229">
        <v>0</v>
      </c>
      <c r="O329" s="229">
        <v>0</v>
      </c>
      <c r="P329" s="230">
        <v>0</v>
      </c>
      <c r="Q329" s="230">
        <v>0</v>
      </c>
      <c r="R329" s="230">
        <f t="shared" si="17"/>
        <v>18132.439999999944</v>
      </c>
      <c r="S329" s="229"/>
    </row>
    <row r="330" spans="1:19" s="231" customFormat="1" ht="12.75" hidden="1" outlineLevel="1">
      <c r="A330" s="229" t="s">
        <v>2172</v>
      </c>
      <c r="B330" s="230"/>
      <c r="C330" s="230" t="s">
        <v>2173</v>
      </c>
      <c r="D330" s="230" t="s">
        <v>2174</v>
      </c>
      <c r="E330" s="230">
        <v>327308.83</v>
      </c>
      <c r="F330" s="230">
        <v>61464.63</v>
      </c>
      <c r="G330" s="230"/>
      <c r="H330" s="229">
        <v>0</v>
      </c>
      <c r="I330" s="229">
        <v>0</v>
      </c>
      <c r="J330" s="229">
        <v>0</v>
      </c>
      <c r="K330" s="229">
        <v>0</v>
      </c>
      <c r="L330" s="229">
        <v>0</v>
      </c>
      <c r="M330" s="229">
        <v>23369.9</v>
      </c>
      <c r="N330" s="229">
        <v>0</v>
      </c>
      <c r="O330" s="229">
        <v>0</v>
      </c>
      <c r="P330" s="230">
        <v>23369.9</v>
      </c>
      <c r="Q330" s="230">
        <v>0</v>
      </c>
      <c r="R330" s="230">
        <f t="shared" si="17"/>
        <v>412143.36000000004</v>
      </c>
      <c r="S330" s="229"/>
    </row>
    <row r="331" spans="1:19" s="231" customFormat="1" ht="12.75" hidden="1" outlineLevel="1">
      <c r="A331" s="229" t="s">
        <v>2175</v>
      </c>
      <c r="B331" s="230"/>
      <c r="C331" s="230" t="s">
        <v>2176</v>
      </c>
      <c r="D331" s="230" t="s">
        <v>2177</v>
      </c>
      <c r="E331" s="230">
        <v>434626.67</v>
      </c>
      <c r="F331" s="230">
        <v>0</v>
      </c>
      <c r="G331" s="230"/>
      <c r="H331" s="229">
        <v>0</v>
      </c>
      <c r="I331" s="229">
        <v>0</v>
      </c>
      <c r="J331" s="229">
        <v>0</v>
      </c>
      <c r="K331" s="229">
        <v>0</v>
      </c>
      <c r="L331" s="229">
        <v>0</v>
      </c>
      <c r="M331" s="229">
        <v>0</v>
      </c>
      <c r="N331" s="229">
        <v>0</v>
      </c>
      <c r="O331" s="229">
        <v>0</v>
      </c>
      <c r="P331" s="230">
        <v>0</v>
      </c>
      <c r="Q331" s="230">
        <v>0</v>
      </c>
      <c r="R331" s="230">
        <f t="shared" si="17"/>
        <v>434626.67</v>
      </c>
      <c r="S331" s="229"/>
    </row>
    <row r="332" spans="1:19" s="231" customFormat="1" ht="12.75" hidden="1" outlineLevel="1">
      <c r="A332" s="229" t="s">
        <v>2178</v>
      </c>
      <c r="B332" s="230"/>
      <c r="C332" s="230" t="s">
        <v>2179</v>
      </c>
      <c r="D332" s="230" t="s">
        <v>2180</v>
      </c>
      <c r="E332" s="230">
        <v>-213474.93</v>
      </c>
      <c r="F332" s="230">
        <v>-391959.76</v>
      </c>
      <c r="G332" s="230"/>
      <c r="H332" s="229">
        <v>0</v>
      </c>
      <c r="I332" s="229">
        <v>0</v>
      </c>
      <c r="J332" s="229">
        <v>0</v>
      </c>
      <c r="K332" s="229">
        <v>0</v>
      </c>
      <c r="L332" s="229">
        <v>0</v>
      </c>
      <c r="M332" s="229">
        <v>0</v>
      </c>
      <c r="N332" s="229">
        <v>0</v>
      </c>
      <c r="O332" s="229">
        <v>0</v>
      </c>
      <c r="P332" s="230">
        <v>0</v>
      </c>
      <c r="Q332" s="230">
        <v>0</v>
      </c>
      <c r="R332" s="230">
        <f t="shared" si="17"/>
        <v>-605434.69</v>
      </c>
      <c r="S332" s="229"/>
    </row>
    <row r="333" spans="1:19" s="231" customFormat="1" ht="12.75" hidden="1" outlineLevel="1">
      <c r="A333" s="229" t="s">
        <v>2181</v>
      </c>
      <c r="B333" s="230"/>
      <c r="C333" s="230" t="s">
        <v>2182</v>
      </c>
      <c r="D333" s="230" t="s">
        <v>2183</v>
      </c>
      <c r="E333" s="230">
        <v>-22125.83</v>
      </c>
      <c r="F333" s="230">
        <v>-1603</v>
      </c>
      <c r="G333" s="230"/>
      <c r="H333" s="229">
        <v>0</v>
      </c>
      <c r="I333" s="229">
        <v>0</v>
      </c>
      <c r="J333" s="229">
        <v>0</v>
      </c>
      <c r="K333" s="229">
        <v>0</v>
      </c>
      <c r="L333" s="229">
        <v>0</v>
      </c>
      <c r="M333" s="229">
        <v>0</v>
      </c>
      <c r="N333" s="229">
        <v>0</v>
      </c>
      <c r="O333" s="229">
        <v>0</v>
      </c>
      <c r="P333" s="230">
        <v>0</v>
      </c>
      <c r="Q333" s="230">
        <v>0</v>
      </c>
      <c r="R333" s="230">
        <f t="shared" si="17"/>
        <v>-23728.83</v>
      </c>
      <c r="S333" s="229"/>
    </row>
    <row r="334" spans="1:19" s="231" customFormat="1" ht="12.75" hidden="1" outlineLevel="1">
      <c r="A334" s="229" t="s">
        <v>2184</v>
      </c>
      <c r="B334" s="230"/>
      <c r="C334" s="230" t="s">
        <v>2185</v>
      </c>
      <c r="D334" s="230" t="s">
        <v>2186</v>
      </c>
      <c r="E334" s="230">
        <v>-121001.13</v>
      </c>
      <c r="F334" s="230">
        <v>0</v>
      </c>
      <c r="G334" s="230"/>
      <c r="H334" s="229">
        <v>0</v>
      </c>
      <c r="I334" s="229">
        <v>0</v>
      </c>
      <c r="J334" s="229">
        <v>0</v>
      </c>
      <c r="K334" s="229">
        <v>0</v>
      </c>
      <c r="L334" s="229">
        <v>0</v>
      </c>
      <c r="M334" s="229">
        <v>0</v>
      </c>
      <c r="N334" s="229">
        <v>0</v>
      </c>
      <c r="O334" s="229">
        <v>0</v>
      </c>
      <c r="P334" s="230">
        <v>0</v>
      </c>
      <c r="Q334" s="230">
        <v>0</v>
      </c>
      <c r="R334" s="230">
        <f t="shared" si="17"/>
        <v>-121001.13</v>
      </c>
      <c r="S334" s="229"/>
    </row>
    <row r="335" spans="1:19" ht="12.75" customHeight="1" collapsed="1">
      <c r="A335" s="175" t="s">
        <v>2190</v>
      </c>
      <c r="B335" s="213"/>
      <c r="C335" s="212" t="s">
        <v>2853</v>
      </c>
      <c r="D335" s="214"/>
      <c r="E335" s="116">
        <v>3182069.86</v>
      </c>
      <c r="F335" s="116">
        <v>-3090701.94</v>
      </c>
      <c r="G335" s="116">
        <v>147497.86</v>
      </c>
      <c r="H335" s="175">
        <v>0</v>
      </c>
      <c r="I335" s="175">
        <v>0</v>
      </c>
      <c r="J335" s="175">
        <v>0</v>
      </c>
      <c r="K335" s="175">
        <v>0</v>
      </c>
      <c r="L335" s="175">
        <v>0</v>
      </c>
      <c r="M335" s="175">
        <v>23369.9</v>
      </c>
      <c r="N335" s="175">
        <v>0</v>
      </c>
      <c r="O335" s="175">
        <v>0</v>
      </c>
      <c r="P335" s="116">
        <v>23369.9</v>
      </c>
      <c r="Q335" s="116">
        <v>0</v>
      </c>
      <c r="R335" s="116">
        <f t="shared" si="17"/>
        <v>262235.67999999993</v>
      </c>
      <c r="S335" s="175"/>
    </row>
    <row r="336" spans="1:19" ht="12.75" customHeight="1">
      <c r="A336" s="175" t="s">
        <v>2191</v>
      </c>
      <c r="B336" s="213"/>
      <c r="C336" s="212" t="s">
        <v>2192</v>
      </c>
      <c r="D336" s="214"/>
      <c r="E336" s="116">
        <v>0</v>
      </c>
      <c r="F336" s="116">
        <v>0</v>
      </c>
      <c r="G336" s="116">
        <v>0</v>
      </c>
      <c r="H336" s="175">
        <v>0</v>
      </c>
      <c r="I336" s="175">
        <v>0</v>
      </c>
      <c r="J336" s="175">
        <v>0</v>
      </c>
      <c r="K336" s="175">
        <v>0</v>
      </c>
      <c r="L336" s="175">
        <v>0</v>
      </c>
      <c r="M336" s="175">
        <v>0</v>
      </c>
      <c r="N336" s="175">
        <v>0</v>
      </c>
      <c r="O336" s="175">
        <v>0</v>
      </c>
      <c r="P336" s="116">
        <v>0</v>
      </c>
      <c r="Q336" s="116">
        <v>0</v>
      </c>
      <c r="R336" s="116">
        <f t="shared" si="17"/>
        <v>0</v>
      </c>
      <c r="S336" s="175"/>
    </row>
    <row r="337" spans="1:19" ht="12.75" customHeight="1">
      <c r="A337" s="210"/>
      <c r="B337" s="213"/>
      <c r="C337" s="212"/>
      <c r="D337" s="214"/>
      <c r="E337" s="116"/>
      <c r="F337" s="116"/>
      <c r="G337" s="116"/>
      <c r="H337" s="210"/>
      <c r="I337" s="210"/>
      <c r="J337" s="210"/>
      <c r="K337" s="210"/>
      <c r="L337" s="210"/>
      <c r="M337" s="210"/>
      <c r="N337" s="210"/>
      <c r="O337" s="210"/>
      <c r="P337" s="116"/>
      <c r="Q337" s="116"/>
      <c r="R337" s="116"/>
      <c r="S337" s="210"/>
    </row>
    <row r="338" spans="1:19" s="261" customFormat="1" ht="12.75" customHeight="1">
      <c r="A338" s="216"/>
      <c r="B338" s="217"/>
      <c r="C338" s="218" t="s">
        <v>1555</v>
      </c>
      <c r="D338" s="74"/>
      <c r="E338" s="117"/>
      <c r="F338" s="117"/>
      <c r="G338" s="117"/>
      <c r="H338" s="216"/>
      <c r="I338" s="216"/>
      <c r="J338" s="216"/>
      <c r="K338" s="216"/>
      <c r="L338" s="216"/>
      <c r="M338" s="216"/>
      <c r="N338" s="216"/>
      <c r="O338" s="216"/>
      <c r="P338" s="117"/>
      <c r="Q338" s="117"/>
      <c r="R338" s="117"/>
      <c r="S338" s="216"/>
    </row>
    <row r="339" spans="1:19" s="261" customFormat="1" ht="12.75" customHeight="1">
      <c r="A339" s="216" t="s">
        <v>2794</v>
      </c>
      <c r="B339" s="217"/>
      <c r="C339" s="218" t="s">
        <v>1556</v>
      </c>
      <c r="D339" s="74"/>
      <c r="E339" s="117">
        <f aca="true" t="shared" si="18" ref="E339:R339">E324+E328+E335+E336+E321</f>
        <v>2668809.1899999995</v>
      </c>
      <c r="F339" s="117">
        <f t="shared" si="18"/>
        <v>-3090651.94</v>
      </c>
      <c r="G339" s="117">
        <f t="shared" si="18"/>
        <v>-2805001.66</v>
      </c>
      <c r="H339" s="216">
        <f t="shared" si="18"/>
        <v>0</v>
      </c>
      <c r="I339" s="216">
        <f t="shared" si="18"/>
        <v>0</v>
      </c>
      <c r="J339" s="216">
        <f t="shared" si="18"/>
        <v>-3232.88</v>
      </c>
      <c r="K339" s="216">
        <f t="shared" si="18"/>
        <v>0</v>
      </c>
      <c r="L339" s="216">
        <f t="shared" si="18"/>
        <v>0</v>
      </c>
      <c r="M339" s="216">
        <f t="shared" si="18"/>
        <v>14309.190000000002</v>
      </c>
      <c r="N339" s="216">
        <f t="shared" si="18"/>
        <v>0</v>
      </c>
      <c r="O339" s="216">
        <f t="shared" si="18"/>
        <v>0</v>
      </c>
      <c r="P339" s="117">
        <f t="shared" si="18"/>
        <v>11076.310000000001</v>
      </c>
      <c r="Q339" s="117">
        <f t="shared" si="18"/>
        <v>0</v>
      </c>
      <c r="R339" s="117">
        <f t="shared" si="18"/>
        <v>-3215768.1000000006</v>
      </c>
      <c r="S339" s="216"/>
    </row>
    <row r="340" spans="1:19" ht="12.75" customHeight="1">
      <c r="A340" s="210"/>
      <c r="B340" s="213"/>
      <c r="C340" s="218"/>
      <c r="D340" s="214"/>
      <c r="E340" s="116"/>
      <c r="F340" s="116"/>
      <c r="G340" s="116"/>
      <c r="H340" s="210"/>
      <c r="I340" s="210"/>
      <c r="J340" s="210"/>
      <c r="K340" s="210"/>
      <c r="L340" s="210"/>
      <c r="M340" s="210"/>
      <c r="N340" s="210"/>
      <c r="O340" s="210"/>
      <c r="P340" s="116"/>
      <c r="Q340" s="116"/>
      <c r="R340" s="116"/>
      <c r="S340" s="210"/>
    </row>
    <row r="341" spans="1:19" ht="12.75" customHeight="1">
      <c r="A341" s="219" t="s">
        <v>2794</v>
      </c>
      <c r="B341" s="217"/>
      <c r="C341" s="218" t="s">
        <v>98</v>
      </c>
      <c r="D341" s="74"/>
      <c r="E341" s="117">
        <f aca="true" t="shared" si="19" ref="E341:R341">E298+E339</f>
        <v>-173402.15200002305</v>
      </c>
      <c r="F341" s="117">
        <f t="shared" si="19"/>
        <v>46265.67799999984</v>
      </c>
      <c r="G341" s="117">
        <f t="shared" si="19"/>
        <v>-448581.6579999998</v>
      </c>
      <c r="H341" s="219">
        <f t="shared" si="19"/>
        <v>-322073.6969999991</v>
      </c>
      <c r="I341" s="219">
        <f t="shared" si="19"/>
        <v>14504.45200000002</v>
      </c>
      <c r="J341" s="219">
        <f t="shared" si="19"/>
        <v>4852.449000000005</v>
      </c>
      <c r="K341" s="219">
        <f t="shared" si="19"/>
        <v>95560.84</v>
      </c>
      <c r="L341" s="219">
        <f t="shared" si="19"/>
        <v>12277.639999999996</v>
      </c>
      <c r="M341" s="219">
        <f t="shared" si="19"/>
        <v>14003.696</v>
      </c>
      <c r="N341" s="219">
        <f t="shared" si="19"/>
        <v>2236.93</v>
      </c>
      <c r="O341" s="219">
        <f t="shared" si="19"/>
        <v>-100587.86199999944</v>
      </c>
      <c r="P341" s="117">
        <f t="shared" si="19"/>
        <v>-279225.55199999973</v>
      </c>
      <c r="Q341" s="117">
        <f t="shared" si="19"/>
        <v>0</v>
      </c>
      <c r="R341" s="117">
        <f t="shared" si="19"/>
        <v>-854943.6840000218</v>
      </c>
      <c r="S341" s="224"/>
    </row>
    <row r="342" spans="1:19" ht="12.75" customHeight="1">
      <c r="A342" s="210"/>
      <c r="B342" s="213"/>
      <c r="C342" s="212"/>
      <c r="D342" s="214"/>
      <c r="E342" s="116"/>
      <c r="F342" s="116"/>
      <c r="G342" s="116"/>
      <c r="H342" s="210"/>
      <c r="I342" s="210"/>
      <c r="J342" s="210"/>
      <c r="K342" s="210"/>
      <c r="L342" s="210"/>
      <c r="M342" s="210"/>
      <c r="N342" s="210"/>
      <c r="O342" s="210"/>
      <c r="P342" s="116"/>
      <c r="Q342" s="116"/>
      <c r="R342" s="116"/>
      <c r="S342" s="210"/>
    </row>
    <row r="343" spans="1:19" s="231" customFormat="1" ht="12.75" hidden="1" outlineLevel="1">
      <c r="A343" s="229" t="s">
        <v>2195</v>
      </c>
      <c r="B343" s="230"/>
      <c r="C343" s="230" t="s">
        <v>2196</v>
      </c>
      <c r="D343" s="230" t="s">
        <v>2197</v>
      </c>
      <c r="E343" s="230">
        <v>15587148.602</v>
      </c>
      <c r="F343" s="230">
        <v>551321.622</v>
      </c>
      <c r="G343" s="230"/>
      <c r="H343" s="229">
        <v>485779.457</v>
      </c>
      <c r="I343" s="229">
        <v>245735.048</v>
      </c>
      <c r="J343" s="229">
        <v>-4391.729</v>
      </c>
      <c r="K343" s="229">
        <v>24249.5</v>
      </c>
      <c r="L343" s="229">
        <v>0</v>
      </c>
      <c r="M343" s="229">
        <v>-13922.306</v>
      </c>
      <c r="N343" s="229">
        <v>48805.73</v>
      </c>
      <c r="O343" s="229">
        <v>224498.222</v>
      </c>
      <c r="P343" s="230">
        <v>1010753.922</v>
      </c>
      <c r="Q343" s="230">
        <v>0</v>
      </c>
      <c r="R343" s="230">
        <f>E343+F343+G343+P343+Q343</f>
        <v>17149224.145999998</v>
      </c>
      <c r="S343" s="229"/>
    </row>
    <row r="344" spans="1:19" s="262" customFormat="1" ht="12.75" customHeight="1" collapsed="1">
      <c r="A344" s="216" t="s">
        <v>2198</v>
      </c>
      <c r="B344" s="217" t="s">
        <v>2854</v>
      </c>
      <c r="D344" s="74"/>
      <c r="E344" s="117">
        <v>15587148.602</v>
      </c>
      <c r="F344" s="117">
        <v>551321.622</v>
      </c>
      <c r="G344" s="117">
        <v>2228441.018</v>
      </c>
      <c r="H344" s="216">
        <v>485779.457</v>
      </c>
      <c r="I344" s="216">
        <v>245735.048</v>
      </c>
      <c r="J344" s="216">
        <v>-4391.729</v>
      </c>
      <c r="K344" s="216">
        <v>24249.5</v>
      </c>
      <c r="L344" s="216">
        <v>0</v>
      </c>
      <c r="M344" s="216">
        <v>-13922.306</v>
      </c>
      <c r="N344" s="216">
        <v>48805.73</v>
      </c>
      <c r="O344" s="216">
        <v>224498.222</v>
      </c>
      <c r="P344" s="117">
        <v>1010753.922</v>
      </c>
      <c r="Q344" s="117">
        <v>0</v>
      </c>
      <c r="R344" s="117">
        <f>E344+F344+G344+P344+Q344</f>
        <v>19377665.163999997</v>
      </c>
      <c r="S344" s="216"/>
    </row>
    <row r="345" spans="1:19" ht="12.75" customHeight="1">
      <c r="A345" s="216"/>
      <c r="B345" s="213"/>
      <c r="C345" s="218"/>
      <c r="D345" s="74"/>
      <c r="E345" s="117"/>
      <c r="F345" s="117"/>
      <c r="G345" s="117"/>
      <c r="H345" s="216"/>
      <c r="I345" s="216"/>
      <c r="J345" s="216"/>
      <c r="K345" s="216"/>
      <c r="L345" s="216"/>
      <c r="M345" s="216"/>
      <c r="N345" s="216"/>
      <c r="O345" s="216"/>
      <c r="P345" s="117"/>
      <c r="Q345" s="117"/>
      <c r="R345" s="117"/>
      <c r="S345" s="216"/>
    </row>
    <row r="346" spans="1:19" s="262" customFormat="1" ht="12.75" customHeight="1" hidden="1">
      <c r="A346" s="210" t="s">
        <v>2199</v>
      </c>
      <c r="B346" s="213"/>
      <c r="C346" s="212" t="s">
        <v>2200</v>
      </c>
      <c r="D346" s="214"/>
      <c r="E346" s="116">
        <v>0</v>
      </c>
      <c r="F346" s="116">
        <v>0</v>
      </c>
      <c r="G346" s="116">
        <v>0</v>
      </c>
      <c r="H346" s="210">
        <v>0</v>
      </c>
      <c r="I346" s="210">
        <v>0</v>
      </c>
      <c r="J346" s="210">
        <v>0</v>
      </c>
      <c r="K346" s="210">
        <v>0</v>
      </c>
      <c r="L346" s="210">
        <v>0</v>
      </c>
      <c r="M346" s="210">
        <v>0</v>
      </c>
      <c r="N346" s="210">
        <v>0</v>
      </c>
      <c r="O346" s="210">
        <v>0</v>
      </c>
      <c r="P346" s="116">
        <v>0</v>
      </c>
      <c r="Q346" s="116">
        <v>0</v>
      </c>
      <c r="R346" s="116">
        <f>E346+F346+G346+P346+Q346</f>
        <v>0</v>
      </c>
      <c r="S346" s="210"/>
    </row>
    <row r="347" spans="1:19" s="262" customFormat="1" ht="12.75" customHeight="1" hidden="1">
      <c r="A347" s="210" t="s">
        <v>2201</v>
      </c>
      <c r="B347" s="213"/>
      <c r="C347" s="212" t="s">
        <v>2202</v>
      </c>
      <c r="D347" s="214"/>
      <c r="E347" s="116">
        <v>0</v>
      </c>
      <c r="F347" s="116">
        <v>0</v>
      </c>
      <c r="G347" s="116">
        <v>0</v>
      </c>
      <c r="H347" s="210">
        <v>0</v>
      </c>
      <c r="I347" s="210">
        <v>0</v>
      </c>
      <c r="J347" s="210">
        <v>0</v>
      </c>
      <c r="K347" s="210">
        <v>0</v>
      </c>
      <c r="L347" s="210">
        <v>0</v>
      </c>
      <c r="M347" s="210">
        <v>0</v>
      </c>
      <c r="N347" s="210">
        <v>0</v>
      </c>
      <c r="O347" s="210">
        <v>0</v>
      </c>
      <c r="P347" s="116">
        <v>0</v>
      </c>
      <c r="Q347" s="116">
        <v>0</v>
      </c>
      <c r="R347" s="116">
        <f>E347+F347+G347+P347+Q347</f>
        <v>0</v>
      </c>
      <c r="S347" s="210"/>
    </row>
    <row r="348" spans="1:19" ht="12.75" customHeight="1" hidden="1">
      <c r="A348" s="216"/>
      <c r="B348" s="213"/>
      <c r="C348" s="218"/>
      <c r="D348" s="74"/>
      <c r="E348" s="117"/>
      <c r="F348" s="117"/>
      <c r="G348" s="117"/>
      <c r="H348" s="216"/>
      <c r="I348" s="216"/>
      <c r="J348" s="216"/>
      <c r="K348" s="216"/>
      <c r="L348" s="216"/>
      <c r="M348" s="216"/>
      <c r="N348" s="216"/>
      <c r="O348" s="216"/>
      <c r="P348" s="117"/>
      <c r="Q348" s="117"/>
      <c r="R348" s="117"/>
      <c r="S348" s="216"/>
    </row>
    <row r="349" spans="1:19" ht="12.75" customHeight="1" hidden="1">
      <c r="A349" s="216" t="s">
        <v>2794</v>
      </c>
      <c r="B349" s="213"/>
      <c r="C349" s="218" t="s">
        <v>2203</v>
      </c>
      <c r="D349" s="74"/>
      <c r="E349" s="117">
        <f aca="true" t="shared" si="20" ref="E349:R349">E344-E346-E347</f>
        <v>15587148.602</v>
      </c>
      <c r="F349" s="117">
        <f t="shared" si="20"/>
        <v>551321.622</v>
      </c>
      <c r="G349" s="117">
        <f t="shared" si="20"/>
        <v>2228441.018</v>
      </c>
      <c r="H349" s="216">
        <f t="shared" si="20"/>
        <v>485779.457</v>
      </c>
      <c r="I349" s="216">
        <f t="shared" si="20"/>
        <v>245735.048</v>
      </c>
      <c r="J349" s="216">
        <f t="shared" si="20"/>
        <v>-4391.729</v>
      </c>
      <c r="K349" s="216">
        <f t="shared" si="20"/>
        <v>24249.5</v>
      </c>
      <c r="L349" s="216">
        <f t="shared" si="20"/>
        <v>0</v>
      </c>
      <c r="M349" s="216">
        <f t="shared" si="20"/>
        <v>-13922.306</v>
      </c>
      <c r="N349" s="216">
        <f t="shared" si="20"/>
        <v>48805.73</v>
      </c>
      <c r="O349" s="216">
        <f t="shared" si="20"/>
        <v>224498.222</v>
      </c>
      <c r="P349" s="117">
        <f t="shared" si="20"/>
        <v>1010753.922</v>
      </c>
      <c r="Q349" s="117">
        <f t="shared" si="20"/>
        <v>0</v>
      </c>
      <c r="R349" s="117">
        <f t="shared" si="20"/>
        <v>19377665.163999997</v>
      </c>
      <c r="S349" s="216"/>
    </row>
    <row r="350" spans="1:19" ht="12.75" customHeight="1" hidden="1">
      <c r="A350" s="210"/>
      <c r="B350" s="213"/>
      <c r="C350" s="212"/>
      <c r="D350" s="214"/>
      <c r="E350" s="193"/>
      <c r="F350" s="193"/>
      <c r="G350" s="193"/>
      <c r="H350" s="210"/>
      <c r="I350" s="210"/>
      <c r="J350" s="210"/>
      <c r="K350" s="210"/>
      <c r="L350" s="210"/>
      <c r="M350" s="210"/>
      <c r="N350" s="210"/>
      <c r="O350" s="210"/>
      <c r="P350" s="193"/>
      <c r="Q350" s="193"/>
      <c r="R350" s="193"/>
      <c r="S350" s="210"/>
    </row>
    <row r="351" spans="1:19" ht="12.75" customHeight="1">
      <c r="A351" s="216" t="s">
        <v>2794</v>
      </c>
      <c r="B351" s="217" t="s">
        <v>2855</v>
      </c>
      <c r="C351" s="254"/>
      <c r="D351" s="74"/>
      <c r="E351" s="227">
        <f aca="true" t="shared" si="21" ref="E351:R351">E341+E349</f>
        <v>15413746.449999977</v>
      </c>
      <c r="F351" s="227">
        <f t="shared" si="21"/>
        <v>597587.2999999998</v>
      </c>
      <c r="G351" s="227">
        <f t="shared" si="21"/>
        <v>1779859.3600000003</v>
      </c>
      <c r="H351" s="216">
        <f t="shared" si="21"/>
        <v>163705.76000000088</v>
      </c>
      <c r="I351" s="216">
        <f t="shared" si="21"/>
        <v>260239.50000000003</v>
      </c>
      <c r="J351" s="216">
        <f t="shared" si="21"/>
        <v>460.7200000000048</v>
      </c>
      <c r="K351" s="216">
        <f t="shared" si="21"/>
        <v>119810.34</v>
      </c>
      <c r="L351" s="216">
        <f t="shared" si="21"/>
        <v>12277.639999999996</v>
      </c>
      <c r="M351" s="216">
        <f t="shared" si="21"/>
        <v>81.38999999999942</v>
      </c>
      <c r="N351" s="216">
        <f t="shared" si="21"/>
        <v>51042.66</v>
      </c>
      <c r="O351" s="216">
        <f t="shared" si="21"/>
        <v>123910.36000000057</v>
      </c>
      <c r="P351" s="227">
        <f t="shared" si="21"/>
        <v>731528.3700000003</v>
      </c>
      <c r="Q351" s="227">
        <f t="shared" si="21"/>
        <v>0</v>
      </c>
      <c r="R351" s="227">
        <f t="shared" si="21"/>
        <v>18522721.479999974</v>
      </c>
      <c r="S351" s="216"/>
    </row>
    <row r="352" spans="5:18" ht="12.75">
      <c r="E352" s="174"/>
      <c r="F352" s="174"/>
      <c r="G352" s="174"/>
      <c r="P352" s="174"/>
      <c r="Q352" s="174"/>
      <c r="R352" s="174"/>
    </row>
    <row r="353" spans="5:18" ht="12.75">
      <c r="E353" s="174"/>
      <c r="F353" s="174"/>
      <c r="G353" s="174"/>
      <c r="P353" s="174"/>
      <c r="Q353" s="174"/>
      <c r="R353" s="174"/>
    </row>
    <row r="354" spans="5:18" ht="12.75">
      <c r="E354" s="174"/>
      <c r="F354" s="174"/>
      <c r="G354" s="174"/>
      <c r="P354" s="174"/>
      <c r="Q354" s="174"/>
      <c r="R354" s="174"/>
    </row>
    <row r="355" spans="5:18" ht="12.75">
      <c r="E355" s="174"/>
      <c r="F355" s="174"/>
      <c r="G355" s="174"/>
      <c r="P355" s="174"/>
      <c r="Q355" s="174"/>
      <c r="R355" s="174"/>
    </row>
    <row r="356" spans="5:18" ht="12.75">
      <c r="E356" s="174"/>
      <c r="F356" s="174"/>
      <c r="G356" s="174"/>
      <c r="P356" s="174"/>
      <c r="Q356" s="174"/>
      <c r="R356" s="174"/>
    </row>
    <row r="357" spans="5:18" ht="12.75">
      <c r="E357" s="174"/>
      <c r="F357" s="174"/>
      <c r="G357" s="174"/>
      <c r="P357" s="174"/>
      <c r="Q357" s="174"/>
      <c r="R357" s="174"/>
    </row>
    <row r="358" spans="5:18" ht="12.75">
      <c r="E358" s="174"/>
      <c r="F358" s="174"/>
      <c r="G358" s="174"/>
      <c r="P358" s="174"/>
      <c r="Q358" s="174"/>
      <c r="R358" s="174"/>
    </row>
    <row r="359" spans="5:18" ht="12.75">
      <c r="E359" s="174"/>
      <c r="F359" s="174"/>
      <c r="G359" s="174"/>
      <c r="P359" s="174"/>
      <c r="Q359" s="174"/>
      <c r="R359" s="174"/>
    </row>
    <row r="360" spans="5:18" ht="12.75">
      <c r="E360" s="174"/>
      <c r="F360" s="174"/>
      <c r="G360" s="174"/>
      <c r="P360" s="174"/>
      <c r="Q360" s="174"/>
      <c r="R360" s="174"/>
    </row>
    <row r="361" spans="5:18" ht="12.75">
      <c r="E361" s="174"/>
      <c r="F361" s="174"/>
      <c r="G361" s="174"/>
      <c r="P361" s="174"/>
      <c r="Q361" s="174"/>
      <c r="R361" s="174"/>
    </row>
    <row r="362" spans="5:18" ht="12.75">
      <c r="E362" s="174"/>
      <c r="F362" s="174"/>
      <c r="G362" s="174"/>
      <c r="P362" s="174"/>
      <c r="Q362" s="174"/>
      <c r="R362" s="174"/>
    </row>
    <row r="363" spans="5:18" ht="12.75">
      <c r="E363" s="174"/>
      <c r="F363" s="174"/>
      <c r="G363" s="174"/>
      <c r="P363" s="174"/>
      <c r="Q363" s="174"/>
      <c r="R363" s="174"/>
    </row>
    <row r="364" spans="5:18" ht="12.75">
      <c r="E364" s="174"/>
      <c r="F364" s="174"/>
      <c r="G364" s="174"/>
      <c r="P364" s="174"/>
      <c r="Q364" s="174"/>
      <c r="R364" s="174"/>
    </row>
    <row r="365" spans="5:18" ht="12.75">
      <c r="E365" s="174"/>
      <c r="F365" s="174"/>
      <c r="G365" s="174"/>
      <c r="P365" s="174"/>
      <c r="Q365" s="174"/>
      <c r="R365" s="174"/>
    </row>
    <row r="366" spans="5:18" ht="12.75">
      <c r="E366" s="174"/>
      <c r="F366" s="174"/>
      <c r="G366" s="174"/>
      <c r="P366" s="174"/>
      <c r="Q366" s="174"/>
      <c r="R366" s="174"/>
    </row>
    <row r="367" spans="5:18" ht="12.75">
      <c r="E367" s="174"/>
      <c r="F367" s="174"/>
      <c r="G367" s="174"/>
      <c r="P367" s="174"/>
      <c r="Q367" s="174"/>
      <c r="R367" s="174"/>
    </row>
    <row r="368" spans="5:18" ht="12.75">
      <c r="E368" s="174"/>
      <c r="F368" s="174"/>
      <c r="G368" s="174"/>
      <c r="P368" s="174"/>
      <c r="Q368" s="174"/>
      <c r="R368" s="174"/>
    </row>
    <row r="369" spans="5:18" ht="12.75">
      <c r="E369" s="174"/>
      <c r="F369" s="174"/>
      <c r="G369" s="174"/>
      <c r="P369" s="174"/>
      <c r="Q369" s="174"/>
      <c r="R369" s="174"/>
    </row>
    <row r="370" spans="5:18" ht="12.75">
      <c r="E370" s="174"/>
      <c r="F370" s="174"/>
      <c r="G370" s="174"/>
      <c r="P370" s="174"/>
      <c r="Q370" s="174"/>
      <c r="R370" s="174"/>
    </row>
    <row r="371" spans="5:18" ht="12.75">
      <c r="E371" s="174"/>
      <c r="F371" s="174"/>
      <c r="G371" s="174"/>
      <c r="P371" s="174"/>
      <c r="Q371" s="174"/>
      <c r="R371" s="174"/>
    </row>
    <row r="372" spans="5:18" ht="12.75">
      <c r="E372" s="174"/>
      <c r="F372" s="174"/>
      <c r="G372" s="174"/>
      <c r="P372" s="174"/>
      <c r="Q372" s="174"/>
      <c r="R372" s="174"/>
    </row>
    <row r="373" spans="5:18" ht="12.75">
      <c r="E373" s="174"/>
      <c r="F373" s="174"/>
      <c r="G373" s="174"/>
      <c r="P373" s="174"/>
      <c r="Q373" s="174"/>
      <c r="R373" s="174"/>
    </row>
    <row r="374" spans="5:18" ht="12.75">
      <c r="E374" s="174"/>
      <c r="F374" s="174"/>
      <c r="G374" s="174"/>
      <c r="P374" s="174"/>
      <c r="Q374" s="174"/>
      <c r="R374" s="174"/>
    </row>
    <row r="375" spans="5:18" ht="12.75">
      <c r="E375" s="174"/>
      <c r="F375" s="174"/>
      <c r="G375" s="174"/>
      <c r="P375" s="174"/>
      <c r="Q375" s="174"/>
      <c r="R375" s="174"/>
    </row>
    <row r="376" spans="5:18" ht="12.75">
      <c r="E376" s="174"/>
      <c r="F376" s="174"/>
      <c r="G376" s="174"/>
      <c r="P376" s="174"/>
      <c r="Q376" s="174"/>
      <c r="R376" s="174"/>
    </row>
    <row r="377" spans="5:18" ht="12.75">
      <c r="E377" s="174"/>
      <c r="F377" s="174"/>
      <c r="G377" s="174"/>
      <c r="P377" s="174"/>
      <c r="Q377" s="174"/>
      <c r="R377" s="174"/>
    </row>
    <row r="378" spans="5:18" ht="12.75">
      <c r="E378" s="174"/>
      <c r="F378" s="174"/>
      <c r="G378" s="174"/>
      <c r="P378" s="174"/>
      <c r="Q378" s="174"/>
      <c r="R378" s="174"/>
    </row>
    <row r="379" spans="5:18" ht="12.75">
      <c r="E379" s="174"/>
      <c r="F379" s="174"/>
      <c r="G379" s="174"/>
      <c r="P379" s="174"/>
      <c r="Q379" s="174"/>
      <c r="R379" s="174"/>
    </row>
    <row r="380" spans="5:18" ht="12.75">
      <c r="E380" s="174"/>
      <c r="F380" s="174"/>
      <c r="G380" s="174"/>
      <c r="P380" s="174"/>
      <c r="Q380" s="174"/>
      <c r="R380" s="174"/>
    </row>
    <row r="381" spans="5:18" ht="12.75">
      <c r="E381" s="174"/>
      <c r="F381" s="174"/>
      <c r="G381" s="174"/>
      <c r="P381" s="174"/>
      <c r="Q381" s="174"/>
      <c r="R381" s="174"/>
    </row>
    <row r="382" spans="5:18" ht="12.75">
      <c r="E382" s="174"/>
      <c r="F382" s="174"/>
      <c r="G382" s="174"/>
      <c r="P382" s="174"/>
      <c r="Q382" s="174"/>
      <c r="R382" s="174"/>
    </row>
    <row r="383" spans="5:18" ht="12.75">
      <c r="E383" s="174"/>
      <c r="F383" s="174"/>
      <c r="G383" s="174"/>
      <c r="P383" s="174"/>
      <c r="Q383" s="174"/>
      <c r="R383" s="174"/>
    </row>
    <row r="384" spans="5:18" ht="12.75">
      <c r="E384" s="174"/>
      <c r="F384" s="174"/>
      <c r="G384" s="174"/>
      <c r="P384" s="174"/>
      <c r="Q384" s="174"/>
      <c r="R384" s="174"/>
    </row>
    <row r="385" spans="5:18" ht="12.75">
      <c r="E385" s="174"/>
      <c r="F385" s="174"/>
      <c r="G385" s="174"/>
      <c r="P385" s="174"/>
      <c r="Q385" s="174"/>
      <c r="R385" s="174"/>
    </row>
    <row r="386" spans="5:18" ht="12.75">
      <c r="E386" s="174"/>
      <c r="F386" s="174"/>
      <c r="G386" s="174"/>
      <c r="P386" s="174"/>
      <c r="Q386" s="174"/>
      <c r="R386" s="174"/>
    </row>
    <row r="387" spans="5:18" ht="12.75">
      <c r="E387" s="174"/>
      <c r="F387" s="174"/>
      <c r="G387" s="174"/>
      <c r="P387" s="174"/>
      <c r="Q387" s="174"/>
      <c r="R387" s="174"/>
    </row>
    <row r="388" spans="5:18" ht="12.75">
      <c r="E388" s="174"/>
      <c r="F388" s="174"/>
      <c r="G388" s="174"/>
      <c r="P388" s="174"/>
      <c r="Q388" s="174"/>
      <c r="R388" s="174"/>
    </row>
    <row r="389" spans="5:18" ht="12.75">
      <c r="E389" s="174"/>
      <c r="F389" s="174"/>
      <c r="G389" s="174"/>
      <c r="P389" s="174"/>
      <c r="Q389" s="174"/>
      <c r="R389" s="174"/>
    </row>
    <row r="390" spans="5:18" ht="12.75">
      <c r="E390" s="174"/>
      <c r="F390" s="174"/>
      <c r="G390" s="174"/>
      <c r="P390" s="174"/>
      <c r="Q390" s="174"/>
      <c r="R390" s="174"/>
    </row>
    <row r="391" spans="5:18" ht="12.75">
      <c r="E391" s="174"/>
      <c r="F391" s="174"/>
      <c r="G391" s="174"/>
      <c r="P391" s="174"/>
      <c r="Q391" s="174"/>
      <c r="R391" s="174"/>
    </row>
    <row r="392" spans="5:18" ht="12.75">
      <c r="E392" s="174"/>
      <c r="F392" s="174"/>
      <c r="G392" s="174"/>
      <c r="P392" s="174"/>
      <c r="Q392" s="174"/>
      <c r="R392" s="174"/>
    </row>
    <row r="393" spans="5:18" ht="12.75">
      <c r="E393" s="174"/>
      <c r="F393" s="174"/>
      <c r="G393" s="174"/>
      <c r="P393" s="174"/>
      <c r="Q393" s="174"/>
      <c r="R393" s="174"/>
    </row>
    <row r="394" spans="5:18" ht="12.75">
      <c r="E394" s="174"/>
      <c r="F394" s="174"/>
      <c r="G394" s="174"/>
      <c r="P394" s="174"/>
      <c r="Q394" s="174"/>
      <c r="R394" s="174"/>
    </row>
    <row r="395" spans="5:18" ht="12.75">
      <c r="E395" s="174"/>
      <c r="F395" s="174"/>
      <c r="G395" s="174"/>
      <c r="P395" s="174"/>
      <c r="Q395" s="174"/>
      <c r="R395" s="174"/>
    </row>
    <row r="396" spans="5:18" ht="12.75">
      <c r="E396" s="174"/>
      <c r="F396" s="174"/>
      <c r="G396" s="174"/>
      <c r="P396" s="174"/>
      <c r="Q396" s="174"/>
      <c r="R396" s="174"/>
    </row>
    <row r="397" spans="5:18" ht="12.75">
      <c r="E397" s="174"/>
      <c r="F397" s="174"/>
      <c r="G397" s="174"/>
      <c r="P397" s="174"/>
      <c r="Q397" s="174"/>
      <c r="R397" s="174"/>
    </row>
    <row r="398" spans="5:18" ht="12.75">
      <c r="E398" s="174"/>
      <c r="F398" s="174"/>
      <c r="G398" s="174"/>
      <c r="P398" s="174"/>
      <c r="Q398" s="174"/>
      <c r="R398" s="174"/>
    </row>
    <row r="399" spans="5:18" ht="12.75">
      <c r="E399" s="174"/>
      <c r="F399" s="174"/>
      <c r="G399" s="174"/>
      <c r="P399" s="174"/>
      <c r="Q399" s="174"/>
      <c r="R399" s="174"/>
    </row>
    <row r="400" spans="5:18" ht="12.75">
      <c r="E400" s="174"/>
      <c r="F400" s="174"/>
      <c r="G400" s="174"/>
      <c r="P400" s="174"/>
      <c r="Q400" s="174"/>
      <c r="R400" s="174"/>
    </row>
    <row r="401" spans="5:18" ht="12.75">
      <c r="E401" s="174"/>
      <c r="F401" s="174"/>
      <c r="G401" s="174"/>
      <c r="P401" s="174"/>
      <c r="Q401" s="174"/>
      <c r="R401" s="174"/>
    </row>
    <row r="402" spans="5:18" ht="12.75">
      <c r="E402" s="174"/>
      <c r="F402" s="174"/>
      <c r="G402" s="174"/>
      <c r="P402" s="174"/>
      <c r="Q402" s="174"/>
      <c r="R402" s="174"/>
    </row>
    <row r="403" spans="5:18" ht="12.75">
      <c r="E403" s="174"/>
      <c r="F403" s="174"/>
      <c r="G403" s="174"/>
      <c r="P403" s="174"/>
      <c r="Q403" s="174"/>
      <c r="R403" s="174"/>
    </row>
    <row r="404" spans="5:18" ht="12.75">
      <c r="E404" s="174"/>
      <c r="F404" s="174"/>
      <c r="G404" s="174"/>
      <c r="P404" s="174"/>
      <c r="Q404" s="174"/>
      <c r="R404" s="174"/>
    </row>
    <row r="405" spans="5:18" ht="12.75">
      <c r="E405" s="174"/>
      <c r="F405" s="174"/>
      <c r="G405" s="174"/>
      <c r="P405" s="174"/>
      <c r="Q405" s="174"/>
      <c r="R405" s="174"/>
    </row>
    <row r="406" spans="5:18" ht="12.75">
      <c r="E406" s="174"/>
      <c r="F406" s="174"/>
      <c r="G406" s="174"/>
      <c r="P406" s="174"/>
      <c r="Q406" s="174"/>
      <c r="R406" s="174"/>
    </row>
    <row r="407" spans="5:18" ht="12.75">
      <c r="E407" s="174"/>
      <c r="F407" s="174"/>
      <c r="G407" s="174"/>
      <c r="P407" s="174"/>
      <c r="Q407" s="174"/>
      <c r="R407" s="174"/>
    </row>
    <row r="408" spans="5:18" ht="12.75">
      <c r="E408" s="174"/>
      <c r="F408" s="174"/>
      <c r="G408" s="174"/>
      <c r="P408" s="174"/>
      <c r="Q408" s="174"/>
      <c r="R408" s="174"/>
    </row>
    <row r="409" spans="5:18" ht="12.75">
      <c r="E409" s="174"/>
      <c r="F409" s="174"/>
      <c r="G409" s="174"/>
      <c r="P409" s="174"/>
      <c r="Q409" s="174"/>
      <c r="R409" s="174"/>
    </row>
    <row r="410" spans="5:18" ht="12.75">
      <c r="E410" s="174"/>
      <c r="F410" s="174"/>
      <c r="G410" s="174"/>
      <c r="P410" s="174"/>
      <c r="Q410" s="174"/>
      <c r="R410" s="174"/>
    </row>
    <row r="411" spans="5:18" ht="12.75">
      <c r="E411" s="174"/>
      <c r="F411" s="174"/>
      <c r="G411" s="174"/>
      <c r="P411" s="174"/>
      <c r="Q411" s="174"/>
      <c r="R411" s="174"/>
    </row>
    <row r="412" spans="5:18" ht="12.75">
      <c r="E412" s="174"/>
      <c r="F412" s="174"/>
      <c r="G412" s="174"/>
      <c r="P412" s="174"/>
      <c r="Q412" s="174"/>
      <c r="R412" s="174"/>
    </row>
    <row r="413" spans="5:18" ht="12.75">
      <c r="E413" s="174"/>
      <c r="F413" s="174"/>
      <c r="G413" s="174"/>
      <c r="P413" s="174"/>
      <c r="Q413" s="174"/>
      <c r="R413" s="174"/>
    </row>
    <row r="414" spans="5:18" ht="12.75">
      <c r="E414" s="174"/>
      <c r="F414" s="174"/>
      <c r="G414" s="174"/>
      <c r="P414" s="174"/>
      <c r="Q414" s="174"/>
      <c r="R414" s="174"/>
    </row>
    <row r="415" spans="5:18" ht="12.75">
      <c r="E415" s="174"/>
      <c r="F415" s="174"/>
      <c r="G415" s="174"/>
      <c r="P415" s="174"/>
      <c r="Q415" s="174"/>
      <c r="R415" s="174"/>
    </row>
    <row r="416" spans="5:18" ht="12.75">
      <c r="E416" s="174"/>
      <c r="F416" s="174"/>
      <c r="G416" s="174"/>
      <c r="P416" s="174"/>
      <c r="Q416" s="174"/>
      <c r="R416" s="174"/>
    </row>
    <row r="417" spans="5:18" ht="12.75">
      <c r="E417" s="174"/>
      <c r="F417" s="174"/>
      <c r="G417" s="174"/>
      <c r="P417" s="174"/>
      <c r="Q417" s="174"/>
      <c r="R417" s="174"/>
    </row>
    <row r="418" spans="5:18" ht="12.75">
      <c r="E418" s="174"/>
      <c r="F418" s="174"/>
      <c r="G418" s="174"/>
      <c r="P418" s="174"/>
      <c r="Q418" s="174"/>
      <c r="R418" s="174"/>
    </row>
    <row r="419" spans="5:18" ht="12.75">
      <c r="E419" s="174"/>
      <c r="F419" s="174"/>
      <c r="G419" s="174"/>
      <c r="P419" s="174"/>
      <c r="Q419" s="174"/>
      <c r="R419" s="174"/>
    </row>
    <row r="420" spans="5:18" ht="12.75">
      <c r="E420" s="174"/>
      <c r="F420" s="174"/>
      <c r="G420" s="174"/>
      <c r="P420" s="174"/>
      <c r="Q420" s="174"/>
      <c r="R420" s="174"/>
    </row>
    <row r="421" spans="5:18" ht="12.75">
      <c r="E421" s="174"/>
      <c r="F421" s="174"/>
      <c r="G421" s="174"/>
      <c r="P421" s="174"/>
      <c r="Q421" s="174"/>
      <c r="R421" s="174"/>
    </row>
    <row r="422" spans="5:18" ht="12.75">
      <c r="E422" s="174"/>
      <c r="F422" s="174"/>
      <c r="G422" s="174"/>
      <c r="P422" s="174"/>
      <c r="Q422" s="174"/>
      <c r="R422" s="174"/>
    </row>
    <row r="423" spans="5:18" ht="12.75">
      <c r="E423" s="174"/>
      <c r="F423" s="174"/>
      <c r="G423" s="174"/>
      <c r="P423" s="174"/>
      <c r="Q423" s="174"/>
      <c r="R423" s="174"/>
    </row>
    <row r="424" spans="5:18" ht="12.75">
      <c r="E424" s="174"/>
      <c r="F424" s="174"/>
      <c r="G424" s="174"/>
      <c r="P424" s="174"/>
      <c r="Q424" s="174"/>
      <c r="R424" s="174"/>
    </row>
    <row r="425" spans="5:18" ht="12.75">
      <c r="E425" s="174"/>
      <c r="F425" s="174"/>
      <c r="G425" s="174"/>
      <c r="P425" s="174"/>
      <c r="Q425" s="174"/>
      <c r="R425" s="174"/>
    </row>
    <row r="426" spans="5:18" ht="12.75">
      <c r="E426" s="174"/>
      <c r="F426" s="174"/>
      <c r="G426" s="174"/>
      <c r="P426" s="174"/>
      <c r="Q426" s="174"/>
      <c r="R426" s="174"/>
    </row>
    <row r="427" spans="5:18" ht="12.75">
      <c r="E427" s="174"/>
      <c r="F427" s="174"/>
      <c r="G427" s="174"/>
      <c r="P427" s="174"/>
      <c r="Q427" s="174"/>
      <c r="R427" s="174"/>
    </row>
    <row r="428" spans="5:18" ht="12.75">
      <c r="E428" s="174"/>
      <c r="F428" s="174"/>
      <c r="G428" s="174"/>
      <c r="P428" s="174"/>
      <c r="Q428" s="174"/>
      <c r="R428" s="174"/>
    </row>
    <row r="429" spans="5:18" ht="12.75">
      <c r="E429" s="174"/>
      <c r="F429" s="174"/>
      <c r="G429" s="174"/>
      <c r="P429" s="174"/>
      <c r="Q429" s="174"/>
      <c r="R429" s="174"/>
    </row>
    <row r="430" spans="5:18" ht="12.75">
      <c r="E430" s="174"/>
      <c r="F430" s="174"/>
      <c r="G430" s="174"/>
      <c r="P430" s="174"/>
      <c r="Q430" s="174"/>
      <c r="R430" s="174"/>
    </row>
    <row r="431" spans="5:18" ht="12.75">
      <c r="E431" s="174"/>
      <c r="F431" s="174"/>
      <c r="G431" s="174"/>
      <c r="P431" s="174"/>
      <c r="Q431" s="174"/>
      <c r="R431" s="174"/>
    </row>
    <row r="432" spans="5:18" ht="12.75">
      <c r="E432" s="174"/>
      <c r="F432" s="174"/>
      <c r="G432" s="174"/>
      <c r="P432" s="174"/>
      <c r="Q432" s="174"/>
      <c r="R432" s="174"/>
    </row>
    <row r="433" spans="5:18" ht="12.75">
      <c r="E433" s="174"/>
      <c r="F433" s="174"/>
      <c r="G433" s="174"/>
      <c r="P433" s="174"/>
      <c r="Q433" s="174"/>
      <c r="R433" s="174"/>
    </row>
    <row r="434" spans="5:18" ht="12.75">
      <c r="E434" s="174"/>
      <c r="F434" s="174"/>
      <c r="G434" s="174"/>
      <c r="P434" s="174"/>
      <c r="Q434" s="174"/>
      <c r="R434" s="174"/>
    </row>
    <row r="435" spans="5:18" ht="12.75">
      <c r="E435" s="174"/>
      <c r="F435" s="174"/>
      <c r="G435" s="174"/>
      <c r="P435" s="174"/>
      <c r="Q435" s="174"/>
      <c r="R435" s="174"/>
    </row>
    <row r="436" spans="5:18" ht="12.75">
      <c r="E436" s="174"/>
      <c r="F436" s="174"/>
      <c r="G436" s="174"/>
      <c r="P436" s="174"/>
      <c r="Q436" s="174"/>
      <c r="R436" s="174"/>
    </row>
    <row r="437" spans="5:18" ht="12.75">
      <c r="E437" s="174"/>
      <c r="F437" s="174"/>
      <c r="G437" s="174"/>
      <c r="P437" s="174"/>
      <c r="Q437" s="174"/>
      <c r="R437" s="174"/>
    </row>
    <row r="438" spans="5:18" ht="12.75">
      <c r="E438" s="174"/>
      <c r="F438" s="174"/>
      <c r="G438" s="174"/>
      <c r="P438" s="174"/>
      <c r="Q438" s="174"/>
      <c r="R438" s="174"/>
    </row>
    <row r="439" spans="5:18" ht="12.75">
      <c r="E439" s="174"/>
      <c r="F439" s="174"/>
      <c r="G439" s="174"/>
      <c r="P439" s="174"/>
      <c r="Q439" s="174"/>
      <c r="R439" s="174"/>
    </row>
    <row r="440" spans="5:18" ht="12.75">
      <c r="E440" s="174"/>
      <c r="F440" s="174"/>
      <c r="G440" s="174"/>
      <c r="P440" s="174"/>
      <c r="Q440" s="174"/>
      <c r="R440" s="174"/>
    </row>
    <row r="441" spans="5:18" ht="12.75">
      <c r="E441" s="174"/>
      <c r="F441" s="174"/>
      <c r="G441" s="174"/>
      <c r="P441" s="174"/>
      <c r="Q441" s="174"/>
      <c r="R441" s="174"/>
    </row>
    <row r="442" spans="5:18" ht="12.75">
      <c r="E442" s="174"/>
      <c r="F442" s="174"/>
      <c r="G442" s="174"/>
      <c r="P442" s="174"/>
      <c r="Q442" s="174"/>
      <c r="R442" s="174"/>
    </row>
    <row r="443" spans="5:18" ht="12.75">
      <c r="E443" s="174"/>
      <c r="F443" s="174"/>
      <c r="G443" s="174"/>
      <c r="P443" s="174"/>
      <c r="Q443" s="174"/>
      <c r="R443" s="174"/>
    </row>
    <row r="444" spans="5:18" ht="12.75">
      <c r="E444" s="174"/>
      <c r="F444" s="174"/>
      <c r="G444" s="174"/>
      <c r="P444" s="174"/>
      <c r="Q444" s="174"/>
      <c r="R444" s="174"/>
    </row>
    <row r="445" spans="5:18" ht="12.75">
      <c r="E445" s="174"/>
      <c r="F445" s="174"/>
      <c r="G445" s="174"/>
      <c r="P445" s="174"/>
      <c r="Q445" s="174"/>
      <c r="R445" s="174"/>
    </row>
    <row r="446" spans="5:18" ht="12.75">
      <c r="E446" s="174"/>
      <c r="F446" s="174"/>
      <c r="G446" s="174"/>
      <c r="P446" s="174"/>
      <c r="Q446" s="174"/>
      <c r="R446" s="174"/>
    </row>
    <row r="447" spans="5:18" ht="12.75">
      <c r="E447" s="174"/>
      <c r="F447" s="174"/>
      <c r="G447" s="174"/>
      <c r="P447" s="174"/>
      <c r="Q447" s="174"/>
      <c r="R447" s="174"/>
    </row>
    <row r="448" spans="5:18" ht="12.75">
      <c r="E448" s="174"/>
      <c r="F448" s="174"/>
      <c r="G448" s="174"/>
      <c r="P448" s="174"/>
      <c r="Q448" s="174"/>
      <c r="R448" s="174"/>
    </row>
    <row r="449" spans="5:18" ht="12.75">
      <c r="E449" s="174"/>
      <c r="F449" s="174"/>
      <c r="G449" s="174"/>
      <c r="P449" s="174"/>
      <c r="Q449" s="174"/>
      <c r="R449" s="174"/>
    </row>
    <row r="450" spans="5:18" ht="12.75">
      <c r="E450" s="174"/>
      <c r="F450" s="174"/>
      <c r="G450" s="174"/>
      <c r="P450" s="174"/>
      <c r="Q450" s="174"/>
      <c r="R450" s="174"/>
    </row>
    <row r="451" spans="5:18" ht="12.75">
      <c r="E451" s="174"/>
      <c r="F451" s="174"/>
      <c r="G451" s="174"/>
      <c r="P451" s="174"/>
      <c r="Q451" s="174"/>
      <c r="R451" s="174"/>
    </row>
    <row r="452" spans="5:18" ht="12.75">
      <c r="E452" s="174"/>
      <c r="F452" s="174"/>
      <c r="G452" s="174"/>
      <c r="P452" s="174"/>
      <c r="Q452" s="174"/>
      <c r="R452" s="174"/>
    </row>
    <row r="453" spans="5:18" ht="12.75">
      <c r="E453" s="174"/>
      <c r="F453" s="174"/>
      <c r="G453" s="174"/>
      <c r="P453" s="174"/>
      <c r="Q453" s="174"/>
      <c r="R453" s="174"/>
    </row>
    <row r="454" spans="5:18" ht="12.75">
      <c r="E454" s="174"/>
      <c r="F454" s="174"/>
      <c r="G454" s="174"/>
      <c r="P454" s="174"/>
      <c r="Q454" s="174"/>
      <c r="R454" s="174"/>
    </row>
    <row r="455" spans="5:18" ht="12.75">
      <c r="E455" s="174"/>
      <c r="F455" s="174"/>
      <c r="G455" s="174"/>
      <c r="P455" s="174"/>
      <c r="Q455" s="174"/>
      <c r="R455" s="174"/>
    </row>
    <row r="456" spans="5:18" ht="12.75">
      <c r="E456" s="174"/>
      <c r="F456" s="174"/>
      <c r="G456" s="174"/>
      <c r="P456" s="174"/>
      <c r="Q456" s="174"/>
      <c r="R456" s="174"/>
    </row>
    <row r="457" spans="5:18" ht="12.75">
      <c r="E457" s="174"/>
      <c r="F457" s="174"/>
      <c r="G457" s="174"/>
      <c r="P457" s="174"/>
      <c r="Q457" s="174"/>
      <c r="R457" s="174"/>
    </row>
    <row r="458" spans="5:18" ht="12.75">
      <c r="E458" s="174"/>
      <c r="F458" s="174"/>
      <c r="G458" s="174"/>
      <c r="P458" s="174"/>
      <c r="Q458" s="174"/>
      <c r="R458" s="174"/>
    </row>
    <row r="459" spans="5:18" ht="12.75">
      <c r="E459" s="174"/>
      <c r="F459" s="174"/>
      <c r="G459" s="174"/>
      <c r="P459" s="174"/>
      <c r="Q459" s="174"/>
      <c r="R459" s="174"/>
    </row>
    <row r="460" spans="5:18" ht="12.75">
      <c r="E460" s="174"/>
      <c r="F460" s="174"/>
      <c r="G460" s="174"/>
      <c r="P460" s="174"/>
      <c r="Q460" s="174"/>
      <c r="R460" s="174"/>
    </row>
    <row r="461" spans="5:18" ht="12.75">
      <c r="E461" s="174"/>
      <c r="F461" s="174"/>
      <c r="G461" s="174"/>
      <c r="P461" s="174"/>
      <c r="Q461" s="174"/>
      <c r="R461" s="174"/>
    </row>
    <row r="462" spans="5:18" ht="12.75">
      <c r="E462" s="174"/>
      <c r="F462" s="174"/>
      <c r="G462" s="174"/>
      <c r="P462" s="174"/>
      <c r="Q462" s="174"/>
      <c r="R462" s="174"/>
    </row>
    <row r="463" spans="5:18" ht="12.75">
      <c r="E463" s="174"/>
      <c r="F463" s="174"/>
      <c r="G463" s="174"/>
      <c r="P463" s="174"/>
      <c r="Q463" s="174"/>
      <c r="R463" s="174"/>
    </row>
    <row r="464" spans="5:18" ht="12.75">
      <c r="E464" s="174"/>
      <c r="F464" s="174"/>
      <c r="G464" s="174"/>
      <c r="P464" s="174"/>
      <c r="Q464" s="174"/>
      <c r="R464" s="174"/>
    </row>
    <row r="465" spans="5:18" ht="12.75">
      <c r="E465" s="174"/>
      <c r="F465" s="174"/>
      <c r="G465" s="174"/>
      <c r="P465" s="174"/>
      <c r="Q465" s="174"/>
      <c r="R465" s="174"/>
    </row>
    <row r="466" spans="5:18" ht="12.75">
      <c r="E466" s="174"/>
      <c r="F466" s="174"/>
      <c r="G466" s="174"/>
      <c r="P466" s="174"/>
      <c r="Q466" s="174"/>
      <c r="R466" s="174"/>
    </row>
    <row r="467" spans="5:18" ht="12.75">
      <c r="E467" s="174"/>
      <c r="F467" s="174"/>
      <c r="G467" s="174"/>
      <c r="P467" s="174"/>
      <c r="Q467" s="174"/>
      <c r="R467" s="174"/>
    </row>
    <row r="468" spans="5:18" ht="12.75">
      <c r="E468" s="174"/>
      <c r="F468" s="174"/>
      <c r="G468" s="174"/>
      <c r="P468" s="174"/>
      <c r="Q468" s="174"/>
      <c r="R468" s="174"/>
    </row>
    <row r="469" spans="5:18" ht="12.75">
      <c r="E469" s="174"/>
      <c r="F469" s="174"/>
      <c r="G469" s="174"/>
      <c r="P469" s="174"/>
      <c r="Q469" s="174"/>
      <c r="R469" s="174"/>
    </row>
    <row r="470" spans="5:18" ht="12.75">
      <c r="E470" s="174"/>
      <c r="F470" s="174"/>
      <c r="G470" s="174"/>
      <c r="P470" s="174"/>
      <c r="Q470" s="174"/>
      <c r="R470" s="174"/>
    </row>
    <row r="471" spans="5:18" ht="12.75">
      <c r="E471" s="174"/>
      <c r="F471" s="174"/>
      <c r="G471" s="174"/>
      <c r="P471" s="174"/>
      <c r="Q471" s="174"/>
      <c r="R471" s="174"/>
    </row>
    <row r="472" spans="5:18" ht="12.75">
      <c r="E472" s="174"/>
      <c r="F472" s="174"/>
      <c r="G472" s="174"/>
      <c r="P472" s="174"/>
      <c r="Q472" s="174"/>
      <c r="R472" s="174"/>
    </row>
    <row r="473" spans="5:18" ht="12.75">
      <c r="E473" s="174"/>
      <c r="F473" s="174"/>
      <c r="G473" s="174"/>
      <c r="P473" s="174"/>
      <c r="Q473" s="174"/>
      <c r="R473" s="174"/>
    </row>
    <row r="474" spans="5:18" ht="12.75">
      <c r="E474" s="174"/>
      <c r="F474" s="174"/>
      <c r="G474" s="174"/>
      <c r="P474" s="174"/>
      <c r="Q474" s="174"/>
      <c r="R474" s="174"/>
    </row>
    <row r="475" spans="5:18" ht="12.75">
      <c r="E475" s="174"/>
      <c r="F475" s="174"/>
      <c r="G475" s="174"/>
      <c r="P475" s="174"/>
      <c r="Q475" s="174"/>
      <c r="R475" s="174"/>
    </row>
    <row r="476" spans="5:18" ht="12.75">
      <c r="E476" s="174"/>
      <c r="F476" s="174"/>
      <c r="G476" s="174"/>
      <c r="P476" s="174"/>
      <c r="Q476" s="174"/>
      <c r="R476" s="174"/>
    </row>
    <row r="477" spans="5:18" ht="12.75">
      <c r="E477" s="174"/>
      <c r="F477" s="174"/>
      <c r="G477" s="174"/>
      <c r="P477" s="174"/>
      <c r="Q477" s="174"/>
      <c r="R477" s="174"/>
    </row>
    <row r="478" spans="5:18" ht="12.75">
      <c r="E478" s="174"/>
      <c r="F478" s="174"/>
      <c r="G478" s="174"/>
      <c r="P478" s="174"/>
      <c r="Q478" s="174"/>
      <c r="R478" s="174"/>
    </row>
    <row r="479" spans="5:18" ht="12.75">
      <c r="E479" s="174"/>
      <c r="F479" s="174"/>
      <c r="G479" s="174"/>
      <c r="P479" s="174"/>
      <c r="Q479" s="174"/>
      <c r="R479" s="174"/>
    </row>
    <row r="480" spans="5:18" ht="12.75">
      <c r="E480" s="174"/>
      <c r="F480" s="174"/>
      <c r="G480" s="174"/>
      <c r="P480" s="174"/>
      <c r="Q480" s="174"/>
      <c r="R480" s="174"/>
    </row>
    <row r="481" spans="5:18" ht="12.75">
      <c r="E481" s="174"/>
      <c r="F481" s="174"/>
      <c r="G481" s="174"/>
      <c r="P481" s="174"/>
      <c r="Q481" s="174"/>
      <c r="R481" s="174"/>
    </row>
    <row r="482" spans="5:18" ht="12.75">
      <c r="E482" s="174"/>
      <c r="F482" s="174"/>
      <c r="G482" s="174"/>
      <c r="P482" s="174"/>
      <c r="Q482" s="174"/>
      <c r="R482" s="174"/>
    </row>
    <row r="483" spans="5:18" ht="12.75">
      <c r="E483" s="174"/>
      <c r="F483" s="174"/>
      <c r="G483" s="174"/>
      <c r="P483" s="174"/>
      <c r="Q483" s="174"/>
      <c r="R483" s="174"/>
    </row>
    <row r="484" spans="5:18" ht="12.75">
      <c r="E484" s="174"/>
      <c r="F484" s="174"/>
      <c r="G484" s="174"/>
      <c r="P484" s="174"/>
      <c r="Q484" s="174"/>
      <c r="R484" s="174"/>
    </row>
    <row r="485" spans="5:18" ht="12.75">
      <c r="E485" s="174"/>
      <c r="F485" s="174"/>
      <c r="G485" s="174"/>
      <c r="P485" s="174"/>
      <c r="Q485" s="174"/>
      <c r="R485" s="174"/>
    </row>
    <row r="486" spans="5:18" ht="12.75">
      <c r="E486" s="174"/>
      <c r="F486" s="174"/>
      <c r="G486" s="174"/>
      <c r="P486" s="174"/>
      <c r="Q486" s="174"/>
      <c r="R486" s="174"/>
    </row>
    <row r="487" spans="5:18" ht="12.75">
      <c r="E487" s="174"/>
      <c r="F487" s="174"/>
      <c r="G487" s="174"/>
      <c r="P487" s="174"/>
      <c r="Q487" s="174"/>
      <c r="R487" s="174"/>
    </row>
    <row r="488" spans="5:18" ht="12.75">
      <c r="E488" s="174"/>
      <c r="F488" s="174"/>
      <c r="G488" s="174"/>
      <c r="P488" s="174"/>
      <c r="Q488" s="174"/>
      <c r="R488" s="174"/>
    </row>
    <row r="489" spans="5:18" ht="12.75">
      <c r="E489" s="174"/>
      <c r="F489" s="174"/>
      <c r="G489" s="174"/>
      <c r="P489" s="174"/>
      <c r="Q489" s="174"/>
      <c r="R489" s="174"/>
    </row>
    <row r="490" spans="5:18" ht="12.75">
      <c r="E490" s="174"/>
      <c r="F490" s="174"/>
      <c r="G490" s="174"/>
      <c r="P490" s="174"/>
      <c r="Q490" s="174"/>
      <c r="R490" s="174"/>
    </row>
    <row r="491" spans="5:18" ht="12.75">
      <c r="E491" s="174"/>
      <c r="F491" s="174"/>
      <c r="G491" s="174"/>
      <c r="P491" s="174"/>
      <c r="Q491" s="174"/>
      <c r="R491" s="174"/>
    </row>
    <row r="492" spans="5:18" ht="12.75">
      <c r="E492" s="174"/>
      <c r="F492" s="174"/>
      <c r="G492" s="174"/>
      <c r="P492" s="174"/>
      <c r="Q492" s="174"/>
      <c r="R492" s="174"/>
    </row>
    <row r="493" spans="5:18" ht="12.75">
      <c r="E493" s="174"/>
      <c r="F493" s="174"/>
      <c r="G493" s="174"/>
      <c r="P493" s="174"/>
      <c r="Q493" s="174"/>
      <c r="R493" s="174"/>
    </row>
    <row r="494" spans="5:18" ht="12.75">
      <c r="E494" s="174"/>
      <c r="F494" s="174"/>
      <c r="G494" s="174"/>
      <c r="P494" s="174"/>
      <c r="Q494" s="174"/>
      <c r="R494" s="174"/>
    </row>
    <row r="495" spans="5:18" ht="12.75">
      <c r="E495" s="174"/>
      <c r="F495" s="174"/>
      <c r="G495" s="174"/>
      <c r="P495" s="174"/>
      <c r="Q495" s="174"/>
      <c r="R495" s="174"/>
    </row>
    <row r="496" spans="5:18" ht="12.75">
      <c r="E496" s="174"/>
      <c r="F496" s="174"/>
      <c r="G496" s="174"/>
      <c r="P496" s="174"/>
      <c r="Q496" s="174"/>
      <c r="R496" s="174"/>
    </row>
    <row r="497" spans="5:18" ht="12.75">
      <c r="E497" s="174"/>
      <c r="F497" s="174"/>
      <c r="G497" s="174"/>
      <c r="P497" s="174"/>
      <c r="Q497" s="174"/>
      <c r="R497" s="174"/>
    </row>
    <row r="498" spans="5:18" ht="12.75">
      <c r="E498" s="174"/>
      <c r="F498" s="174"/>
      <c r="G498" s="174"/>
      <c r="P498" s="174"/>
      <c r="Q498" s="174"/>
      <c r="R498" s="174"/>
    </row>
    <row r="499" spans="5:18" ht="12.75">
      <c r="E499" s="174"/>
      <c r="F499" s="174"/>
      <c r="G499" s="174"/>
      <c r="P499" s="174"/>
      <c r="Q499" s="174"/>
      <c r="R499" s="174"/>
    </row>
    <row r="500" spans="5:18" ht="12.75">
      <c r="E500" s="174"/>
      <c r="F500" s="174"/>
      <c r="G500" s="174"/>
      <c r="P500" s="174"/>
      <c r="Q500" s="174"/>
      <c r="R500" s="174"/>
    </row>
    <row r="501" spans="5:18" ht="12.75">
      <c r="E501" s="174"/>
      <c r="F501" s="174"/>
      <c r="G501" s="174"/>
      <c r="P501" s="174"/>
      <c r="Q501" s="174"/>
      <c r="R501" s="174"/>
    </row>
    <row r="502" spans="5:18" ht="12.75">
      <c r="E502" s="174"/>
      <c r="F502" s="174"/>
      <c r="G502" s="174"/>
      <c r="P502" s="174"/>
      <c r="Q502" s="174"/>
      <c r="R502" s="174"/>
    </row>
    <row r="503" spans="5:18" ht="12.75">
      <c r="E503" s="174"/>
      <c r="F503" s="174"/>
      <c r="G503" s="174"/>
      <c r="P503" s="174"/>
      <c r="Q503" s="174"/>
      <c r="R503" s="174"/>
    </row>
    <row r="504" spans="5:18" ht="12.75">
      <c r="E504" s="174"/>
      <c r="F504" s="174"/>
      <c r="G504" s="174"/>
      <c r="P504" s="174"/>
      <c r="Q504" s="174"/>
      <c r="R504" s="174"/>
    </row>
    <row r="505" spans="5:18" ht="12.75">
      <c r="E505" s="174"/>
      <c r="F505" s="174"/>
      <c r="G505" s="174"/>
      <c r="P505" s="174"/>
      <c r="Q505" s="174"/>
      <c r="R505" s="174"/>
    </row>
    <row r="506" spans="5:18" ht="12.75">
      <c r="E506" s="174"/>
      <c r="F506" s="174"/>
      <c r="G506" s="174"/>
      <c r="P506" s="174"/>
      <c r="Q506" s="174"/>
      <c r="R506" s="174"/>
    </row>
    <row r="507" spans="5:18" ht="12.75">
      <c r="E507" s="174"/>
      <c r="F507" s="174"/>
      <c r="G507" s="174"/>
      <c r="P507" s="174"/>
      <c r="Q507" s="174"/>
      <c r="R507" s="174"/>
    </row>
    <row r="508" spans="5:18" ht="12.75">
      <c r="E508" s="174"/>
      <c r="F508" s="174"/>
      <c r="G508" s="174"/>
      <c r="P508" s="174"/>
      <c r="Q508" s="174"/>
      <c r="R508" s="174"/>
    </row>
    <row r="509" spans="5:18" ht="12.75">
      <c r="E509" s="174"/>
      <c r="F509" s="174"/>
      <c r="G509" s="174"/>
      <c r="P509" s="174"/>
      <c r="Q509" s="174"/>
      <c r="R509" s="174"/>
    </row>
    <row r="510" spans="5:18" ht="12.75">
      <c r="E510" s="174"/>
      <c r="F510" s="174"/>
      <c r="G510" s="174"/>
      <c r="P510" s="174"/>
      <c r="Q510" s="174"/>
      <c r="R510" s="174"/>
    </row>
    <row r="511" spans="5:18" ht="12.75">
      <c r="E511" s="174"/>
      <c r="F511" s="174"/>
      <c r="G511" s="174"/>
      <c r="P511" s="174"/>
      <c r="Q511" s="174"/>
      <c r="R511" s="174"/>
    </row>
    <row r="512" spans="5:18" ht="12.75">
      <c r="E512" s="174"/>
      <c r="F512" s="174"/>
      <c r="G512" s="174"/>
      <c r="P512" s="174"/>
      <c r="Q512" s="174"/>
      <c r="R512" s="174"/>
    </row>
    <row r="513" spans="5:18" ht="12.75">
      <c r="E513" s="174"/>
      <c r="F513" s="174"/>
      <c r="G513" s="174"/>
      <c r="P513" s="174"/>
      <c r="Q513" s="174"/>
      <c r="R513" s="174"/>
    </row>
    <row r="514" spans="5:18" ht="12.75">
      <c r="E514" s="174"/>
      <c r="F514" s="174"/>
      <c r="G514" s="174"/>
      <c r="P514" s="174"/>
      <c r="Q514" s="174"/>
      <c r="R514" s="174"/>
    </row>
    <row r="515" spans="5:18" ht="12.75">
      <c r="E515" s="174"/>
      <c r="F515" s="174"/>
      <c r="G515" s="174"/>
      <c r="P515" s="174"/>
      <c r="Q515" s="174"/>
      <c r="R515" s="174"/>
    </row>
    <row r="516" spans="5:18" ht="12.75">
      <c r="E516" s="174"/>
      <c r="F516" s="174"/>
      <c r="G516" s="174"/>
      <c r="P516" s="174"/>
      <c r="Q516" s="174"/>
      <c r="R516" s="174"/>
    </row>
    <row r="517" spans="5:18" ht="12.75">
      <c r="E517" s="174"/>
      <c r="F517" s="174"/>
      <c r="G517" s="174"/>
      <c r="P517" s="174"/>
      <c r="Q517" s="174"/>
      <c r="R517" s="174"/>
    </row>
    <row r="518" spans="5:18" ht="12.75">
      <c r="E518" s="174"/>
      <c r="F518" s="174"/>
      <c r="G518" s="174"/>
      <c r="P518" s="174"/>
      <c r="Q518" s="174"/>
      <c r="R518" s="174"/>
    </row>
    <row r="519" spans="5:18" ht="12.75">
      <c r="E519" s="174"/>
      <c r="F519" s="174"/>
      <c r="G519" s="174"/>
      <c r="P519" s="174"/>
      <c r="Q519" s="174"/>
      <c r="R519" s="174"/>
    </row>
    <row r="520" spans="5:18" ht="12.75">
      <c r="E520" s="174"/>
      <c r="F520" s="174"/>
      <c r="G520" s="174"/>
      <c r="P520" s="174"/>
      <c r="Q520" s="174"/>
      <c r="R520" s="174"/>
    </row>
    <row r="521" spans="5:18" ht="12.75">
      <c r="E521" s="174"/>
      <c r="F521" s="174"/>
      <c r="G521" s="174"/>
      <c r="P521" s="174"/>
      <c r="Q521" s="174"/>
      <c r="R521" s="174"/>
    </row>
    <row r="522" spans="5:18" ht="12.75">
      <c r="E522" s="174"/>
      <c r="F522" s="174"/>
      <c r="G522" s="174"/>
      <c r="P522" s="174"/>
      <c r="Q522" s="174"/>
      <c r="R522" s="174"/>
    </row>
    <row r="523" spans="5:18" ht="12.75">
      <c r="E523" s="174"/>
      <c r="F523" s="174"/>
      <c r="G523" s="174"/>
      <c r="P523" s="174"/>
      <c r="Q523" s="174"/>
      <c r="R523" s="174"/>
    </row>
    <row r="524" spans="5:18" ht="12.75">
      <c r="E524" s="174"/>
      <c r="F524" s="174"/>
      <c r="G524" s="174"/>
      <c r="P524" s="174"/>
      <c r="Q524" s="174"/>
      <c r="R524" s="174"/>
    </row>
    <row r="525" spans="5:18" ht="12.75">
      <c r="E525" s="174"/>
      <c r="F525" s="174"/>
      <c r="G525" s="174"/>
      <c r="P525" s="174"/>
      <c r="Q525" s="174"/>
      <c r="R525" s="174"/>
    </row>
    <row r="526" spans="5:18" ht="12.75">
      <c r="E526" s="174"/>
      <c r="F526" s="174"/>
      <c r="G526" s="174"/>
      <c r="P526" s="174"/>
      <c r="Q526" s="174"/>
      <c r="R526" s="174"/>
    </row>
    <row r="527" spans="5:18" ht="12.75">
      <c r="E527" s="174"/>
      <c r="F527" s="174"/>
      <c r="G527" s="174"/>
      <c r="P527" s="174"/>
      <c r="Q527" s="174"/>
      <c r="R527" s="174"/>
    </row>
    <row r="528" spans="5:18" ht="12.75">
      <c r="E528" s="174"/>
      <c r="F528" s="174"/>
      <c r="G528" s="174"/>
      <c r="P528" s="174"/>
      <c r="Q528" s="174"/>
      <c r="R528" s="174"/>
    </row>
    <row r="529" spans="5:18" ht="12.75">
      <c r="E529" s="174"/>
      <c r="F529" s="174"/>
      <c r="G529" s="174"/>
      <c r="P529" s="174"/>
      <c r="Q529" s="174"/>
      <c r="R529" s="174"/>
    </row>
    <row r="530" spans="5:18" ht="12.75">
      <c r="E530" s="174"/>
      <c r="F530" s="174"/>
      <c r="G530" s="174"/>
      <c r="P530" s="174"/>
      <c r="Q530" s="174"/>
      <c r="R530" s="174"/>
    </row>
    <row r="531" spans="5:18" ht="12.75">
      <c r="E531" s="174"/>
      <c r="F531" s="174"/>
      <c r="G531" s="174"/>
      <c r="P531" s="174"/>
      <c r="Q531" s="174"/>
      <c r="R531" s="174"/>
    </row>
    <row r="532" spans="5:18" ht="12.75">
      <c r="E532" s="174"/>
      <c r="F532" s="174"/>
      <c r="G532" s="174"/>
      <c r="P532" s="174"/>
      <c r="Q532" s="174"/>
      <c r="R532" s="174"/>
    </row>
    <row r="533" spans="5:18" ht="12.75">
      <c r="E533" s="174"/>
      <c r="F533" s="174"/>
      <c r="G533" s="174"/>
      <c r="P533" s="174"/>
      <c r="Q533" s="174"/>
      <c r="R533" s="174"/>
    </row>
    <row r="534" spans="5:18" ht="12.75">
      <c r="E534" s="174"/>
      <c r="F534" s="174"/>
      <c r="G534" s="174"/>
      <c r="P534" s="174"/>
      <c r="Q534" s="174"/>
      <c r="R534" s="174"/>
    </row>
    <row r="535" spans="5:18" ht="12.75">
      <c r="E535" s="174"/>
      <c r="F535" s="174"/>
      <c r="G535" s="174"/>
      <c r="P535" s="174"/>
      <c r="Q535" s="174"/>
      <c r="R535" s="174"/>
    </row>
    <row r="536" spans="5:18" ht="12.75">
      <c r="E536" s="174"/>
      <c r="F536" s="174"/>
      <c r="G536" s="174"/>
      <c r="P536" s="174"/>
      <c r="Q536" s="174"/>
      <c r="R536" s="174"/>
    </row>
    <row r="537" spans="5:18" ht="12.75">
      <c r="E537" s="174"/>
      <c r="F537" s="174"/>
      <c r="G537" s="174"/>
      <c r="P537" s="174"/>
      <c r="Q537" s="174"/>
      <c r="R537" s="174"/>
    </row>
    <row r="538" spans="5:18" ht="12.75">
      <c r="E538" s="174"/>
      <c r="F538" s="174"/>
      <c r="G538" s="174"/>
      <c r="P538" s="174"/>
      <c r="Q538" s="174"/>
      <c r="R538" s="174"/>
    </row>
    <row r="539" spans="5:18" ht="12.75">
      <c r="E539" s="174"/>
      <c r="F539" s="174"/>
      <c r="G539" s="174"/>
      <c r="P539" s="174"/>
      <c r="Q539" s="174"/>
      <c r="R539" s="174"/>
    </row>
    <row r="540" spans="5:18" ht="12.75">
      <c r="E540" s="174"/>
      <c r="F540" s="174"/>
      <c r="G540" s="174"/>
      <c r="P540" s="174"/>
      <c r="Q540" s="174"/>
      <c r="R540" s="174"/>
    </row>
    <row r="541" spans="5:18" ht="12.75">
      <c r="E541" s="174"/>
      <c r="F541" s="174"/>
      <c r="G541" s="174"/>
      <c r="P541" s="174"/>
      <c r="Q541" s="174"/>
      <c r="R541" s="174"/>
    </row>
    <row r="542" spans="5:18" ht="12.75">
      <c r="E542" s="174"/>
      <c r="F542" s="174"/>
      <c r="G542" s="174"/>
      <c r="P542" s="174"/>
      <c r="Q542" s="174"/>
      <c r="R542" s="174"/>
    </row>
    <row r="543" spans="5:18" ht="12.75">
      <c r="E543" s="174"/>
      <c r="F543" s="174"/>
      <c r="G543" s="174"/>
      <c r="P543" s="174"/>
      <c r="Q543" s="174"/>
      <c r="R543" s="174"/>
    </row>
    <row r="544" spans="5:18" ht="12.75">
      <c r="E544" s="174"/>
      <c r="F544" s="174"/>
      <c r="G544" s="174"/>
      <c r="P544" s="174"/>
      <c r="Q544" s="174"/>
      <c r="R544" s="174"/>
    </row>
    <row r="545" spans="5:18" ht="12.75">
      <c r="E545" s="174"/>
      <c r="F545" s="174"/>
      <c r="G545" s="174"/>
      <c r="P545" s="174"/>
      <c r="Q545" s="174"/>
      <c r="R545" s="174"/>
    </row>
    <row r="546" spans="5:18" ht="12.75">
      <c r="E546" s="174"/>
      <c r="F546" s="174"/>
      <c r="G546" s="174"/>
      <c r="P546" s="174"/>
      <c r="Q546" s="174"/>
      <c r="R546" s="174"/>
    </row>
    <row r="547" spans="5:18" ht="12.75">
      <c r="E547" s="174"/>
      <c r="F547" s="174"/>
      <c r="G547" s="174"/>
      <c r="P547" s="174"/>
      <c r="Q547" s="174"/>
      <c r="R547" s="174"/>
    </row>
    <row r="548" spans="5:18" ht="12.75">
      <c r="E548" s="174"/>
      <c r="F548" s="174"/>
      <c r="G548" s="174"/>
      <c r="P548" s="174"/>
      <c r="Q548" s="174"/>
      <c r="R548" s="174"/>
    </row>
    <row r="549" spans="5:18" ht="12.75">
      <c r="E549" s="174"/>
      <c r="F549" s="174"/>
      <c r="G549" s="174"/>
      <c r="P549" s="174"/>
      <c r="Q549" s="174"/>
      <c r="R549" s="174"/>
    </row>
    <row r="550" spans="5:18" ht="12.75">
      <c r="E550" s="174"/>
      <c r="F550" s="174"/>
      <c r="G550" s="174"/>
      <c r="P550" s="174"/>
      <c r="Q550" s="174"/>
      <c r="R550" s="174"/>
    </row>
    <row r="551" spans="5:18" ht="12.75">
      <c r="E551" s="174"/>
      <c r="F551" s="174"/>
      <c r="G551" s="174"/>
      <c r="P551" s="174"/>
      <c r="Q551" s="174"/>
      <c r="R551" s="174"/>
    </row>
    <row r="552" spans="5:18" ht="12.75">
      <c r="E552" s="174"/>
      <c r="F552" s="174"/>
      <c r="G552" s="174"/>
      <c r="P552" s="174"/>
      <c r="Q552" s="174"/>
      <c r="R552" s="174"/>
    </row>
    <row r="553" spans="5:18" ht="12.75">
      <c r="E553" s="174"/>
      <c r="F553" s="174"/>
      <c r="G553" s="174"/>
      <c r="P553" s="174"/>
      <c r="Q553" s="174"/>
      <c r="R553" s="174"/>
    </row>
    <row r="554" spans="5:18" ht="12.75">
      <c r="E554" s="174"/>
      <c r="F554" s="174"/>
      <c r="G554" s="174"/>
      <c r="P554" s="174"/>
      <c r="Q554" s="174"/>
      <c r="R554" s="174"/>
    </row>
    <row r="555" spans="5:18" ht="12.75">
      <c r="E555" s="174"/>
      <c r="F555" s="174"/>
      <c r="G555" s="174"/>
      <c r="P555" s="174"/>
      <c r="Q555" s="174"/>
      <c r="R555" s="174"/>
    </row>
    <row r="556" spans="5:18" ht="12.75">
      <c r="E556" s="174"/>
      <c r="F556" s="174"/>
      <c r="G556" s="174"/>
      <c r="P556" s="174"/>
      <c r="Q556" s="174"/>
      <c r="R556" s="174"/>
    </row>
    <row r="557" spans="5:18" ht="12.75">
      <c r="E557" s="174"/>
      <c r="F557" s="174"/>
      <c r="G557" s="174"/>
      <c r="P557" s="174"/>
      <c r="Q557" s="174"/>
      <c r="R557" s="174"/>
    </row>
    <row r="558" spans="5:18" ht="12.75">
      <c r="E558" s="174"/>
      <c r="F558" s="174"/>
      <c r="G558" s="174"/>
      <c r="P558" s="174"/>
      <c r="Q558" s="174"/>
      <c r="R558" s="174"/>
    </row>
    <row r="559" spans="5:18" ht="12.75">
      <c r="E559" s="174"/>
      <c r="F559" s="174"/>
      <c r="G559" s="174"/>
      <c r="P559" s="174"/>
      <c r="Q559" s="174"/>
      <c r="R559" s="174"/>
    </row>
    <row r="560" spans="5:18" ht="12.75">
      <c r="E560" s="174"/>
      <c r="F560" s="174"/>
      <c r="G560" s="174"/>
      <c r="P560" s="174"/>
      <c r="Q560" s="174"/>
      <c r="R560" s="174"/>
    </row>
    <row r="561" spans="5:18" ht="12.75">
      <c r="E561" s="174"/>
      <c r="F561" s="174"/>
      <c r="G561" s="174"/>
      <c r="P561" s="174"/>
      <c r="Q561" s="174"/>
      <c r="R561" s="174"/>
    </row>
    <row r="562" spans="5:18" ht="12.75">
      <c r="E562" s="174"/>
      <c r="F562" s="174"/>
      <c r="G562" s="174"/>
      <c r="P562" s="174"/>
      <c r="Q562" s="174"/>
      <c r="R562" s="174"/>
    </row>
    <row r="563" spans="5:18" ht="12.75">
      <c r="E563" s="174"/>
      <c r="F563" s="174"/>
      <c r="G563" s="174"/>
      <c r="P563" s="174"/>
      <c r="Q563" s="174"/>
      <c r="R563" s="174"/>
    </row>
    <row r="564" spans="5:18" ht="12.75">
      <c r="E564" s="174"/>
      <c r="F564" s="174"/>
      <c r="G564" s="174"/>
      <c r="P564" s="174"/>
      <c r="Q564" s="174"/>
      <c r="R564" s="174"/>
    </row>
    <row r="565" spans="5:18" ht="12.75">
      <c r="E565" s="174"/>
      <c r="F565" s="174"/>
      <c r="G565" s="174"/>
      <c r="P565" s="174"/>
      <c r="Q565" s="174"/>
      <c r="R565" s="174"/>
    </row>
    <row r="566" spans="5:18" ht="12.75">
      <c r="E566" s="174"/>
      <c r="F566" s="174"/>
      <c r="G566" s="174"/>
      <c r="P566" s="174"/>
      <c r="Q566" s="174"/>
      <c r="R566" s="174"/>
    </row>
    <row r="567" spans="5:18" ht="12.75">
      <c r="E567" s="174"/>
      <c r="F567" s="174"/>
      <c r="G567" s="174"/>
      <c r="P567" s="174"/>
      <c r="Q567" s="174"/>
      <c r="R567" s="174"/>
    </row>
    <row r="568" spans="5:18" ht="12.75">
      <c r="E568" s="174"/>
      <c r="F568" s="174"/>
      <c r="G568" s="174"/>
      <c r="P568" s="174"/>
      <c r="Q568" s="174"/>
      <c r="R568" s="174"/>
    </row>
    <row r="569" spans="5:18" ht="12.75">
      <c r="E569" s="174"/>
      <c r="F569" s="174"/>
      <c r="G569" s="174"/>
      <c r="P569" s="174"/>
      <c r="Q569" s="174"/>
      <c r="R569" s="174"/>
    </row>
    <row r="570" spans="5:18" ht="12.75">
      <c r="E570" s="174"/>
      <c r="F570" s="174"/>
      <c r="G570" s="174"/>
      <c r="P570" s="174"/>
      <c r="Q570" s="174"/>
      <c r="R570" s="174"/>
    </row>
    <row r="571" spans="5:18" ht="12.75">
      <c r="E571" s="174"/>
      <c r="F571" s="174"/>
      <c r="G571" s="174"/>
      <c r="P571" s="174"/>
      <c r="Q571" s="174"/>
      <c r="R571" s="174"/>
    </row>
    <row r="572" spans="5:18" ht="12.75">
      <c r="E572" s="174"/>
      <c r="F572" s="174"/>
      <c r="G572" s="174"/>
      <c r="P572" s="174"/>
      <c r="Q572" s="174"/>
      <c r="R572" s="174"/>
    </row>
    <row r="573" spans="5:18" ht="12.75">
      <c r="E573" s="174"/>
      <c r="F573" s="174"/>
      <c r="G573" s="174"/>
      <c r="P573" s="174"/>
      <c r="Q573" s="174"/>
      <c r="R573" s="174"/>
    </row>
    <row r="574" spans="5:18" ht="12.75">
      <c r="E574" s="174"/>
      <c r="F574" s="174"/>
      <c r="G574" s="174"/>
      <c r="P574" s="174"/>
      <c r="Q574" s="174"/>
      <c r="R574" s="174"/>
    </row>
    <row r="575" spans="5:18" ht="12.75">
      <c r="E575" s="174"/>
      <c r="F575" s="174"/>
      <c r="G575" s="174"/>
      <c r="P575" s="174"/>
      <c r="Q575" s="174"/>
      <c r="R575" s="174"/>
    </row>
    <row r="576" spans="5:18" ht="12.75">
      <c r="E576" s="174"/>
      <c r="F576" s="174"/>
      <c r="G576" s="174"/>
      <c r="P576" s="174"/>
      <c r="Q576" s="174"/>
      <c r="R576" s="174"/>
    </row>
    <row r="577" spans="5:18" ht="12.75">
      <c r="E577" s="174"/>
      <c r="F577" s="174"/>
      <c r="G577" s="174"/>
      <c r="P577" s="174"/>
      <c r="Q577" s="174"/>
      <c r="R577" s="174"/>
    </row>
    <row r="578" spans="5:18" ht="12.75">
      <c r="E578" s="174"/>
      <c r="F578" s="174"/>
      <c r="G578" s="174"/>
      <c r="P578" s="174"/>
      <c r="Q578" s="174"/>
      <c r="R578" s="174"/>
    </row>
    <row r="579" spans="5:18" ht="12.75">
      <c r="E579" s="174"/>
      <c r="F579" s="174"/>
      <c r="G579" s="174"/>
      <c r="P579" s="174"/>
      <c r="Q579" s="174"/>
      <c r="R579" s="174"/>
    </row>
    <row r="580" spans="5:18" ht="12.75">
      <c r="E580" s="174"/>
      <c r="F580" s="174"/>
      <c r="G580" s="174"/>
      <c r="P580" s="174"/>
      <c r="Q580" s="174"/>
      <c r="R580" s="174"/>
    </row>
    <row r="581" spans="5:18" ht="12.75">
      <c r="E581" s="174"/>
      <c r="F581" s="174"/>
      <c r="G581" s="174"/>
      <c r="P581" s="174"/>
      <c r="Q581" s="174"/>
      <c r="R581" s="174"/>
    </row>
    <row r="582" spans="5:18" ht="12.75">
      <c r="E582" s="174"/>
      <c r="F582" s="174"/>
      <c r="G582" s="174"/>
      <c r="P582" s="174"/>
      <c r="Q582" s="174"/>
      <c r="R582" s="174"/>
    </row>
    <row r="583" spans="5:18" ht="12.75">
      <c r="E583" s="174"/>
      <c r="F583" s="174"/>
      <c r="G583" s="174"/>
      <c r="P583" s="174"/>
      <c r="Q583" s="174"/>
      <c r="R583" s="174"/>
    </row>
    <row r="584" spans="5:18" ht="12.75">
      <c r="E584" s="174"/>
      <c r="F584" s="174"/>
      <c r="G584" s="174"/>
      <c r="P584" s="174"/>
      <c r="Q584" s="174"/>
      <c r="R584" s="174"/>
    </row>
    <row r="585" spans="5:18" ht="12.75">
      <c r="E585" s="174"/>
      <c r="F585" s="174"/>
      <c r="G585" s="174"/>
      <c r="P585" s="174"/>
      <c r="Q585" s="174"/>
      <c r="R585" s="174"/>
    </row>
    <row r="586" spans="5:18" ht="12.75">
      <c r="E586" s="174"/>
      <c r="F586" s="174"/>
      <c r="G586" s="174"/>
      <c r="P586" s="174"/>
      <c r="Q586" s="174"/>
      <c r="R586" s="174"/>
    </row>
    <row r="587" spans="5:18" ht="12.75">
      <c r="E587" s="174"/>
      <c r="F587" s="174"/>
      <c r="G587" s="174"/>
      <c r="P587" s="174"/>
      <c r="Q587" s="174"/>
      <c r="R587" s="174"/>
    </row>
    <row r="588" spans="5:18" ht="12.75">
      <c r="E588" s="174"/>
      <c r="F588" s="174"/>
      <c r="G588" s="174"/>
      <c r="P588" s="174"/>
      <c r="Q588" s="174"/>
      <c r="R588" s="174"/>
    </row>
    <row r="589" spans="5:18" ht="12.75">
      <c r="E589" s="174"/>
      <c r="F589" s="174"/>
      <c r="G589" s="174"/>
      <c r="P589" s="174"/>
      <c r="Q589" s="174"/>
      <c r="R589" s="174"/>
    </row>
    <row r="590" spans="5:18" ht="12.75">
      <c r="E590" s="174"/>
      <c r="F590" s="174"/>
      <c r="G590" s="174"/>
      <c r="P590" s="174"/>
      <c r="Q590" s="174"/>
      <c r="R590" s="174"/>
    </row>
    <row r="591" spans="5:18" ht="12.75">
      <c r="E591" s="174"/>
      <c r="F591" s="174"/>
      <c r="G591" s="174"/>
      <c r="P591" s="174"/>
      <c r="Q591" s="174"/>
      <c r="R591" s="174"/>
    </row>
    <row r="592" spans="5:18" ht="12.75">
      <c r="E592" s="174"/>
      <c r="F592" s="174"/>
      <c r="G592" s="174"/>
      <c r="P592" s="174"/>
      <c r="Q592" s="174"/>
      <c r="R592" s="174"/>
    </row>
    <row r="593" spans="5:18" ht="12.75">
      <c r="E593" s="174"/>
      <c r="F593" s="174"/>
      <c r="G593" s="174"/>
      <c r="P593" s="174"/>
      <c r="Q593" s="174"/>
      <c r="R593" s="174"/>
    </row>
    <row r="594" spans="5:18" ht="12.75">
      <c r="E594" s="174"/>
      <c r="F594" s="174"/>
      <c r="G594" s="174"/>
      <c r="P594" s="174"/>
      <c r="Q594" s="174"/>
      <c r="R594" s="174"/>
    </row>
    <row r="595" spans="5:18" ht="12.75">
      <c r="E595" s="174"/>
      <c r="F595" s="174"/>
      <c r="G595" s="174"/>
      <c r="P595" s="174"/>
      <c r="Q595" s="174"/>
      <c r="R595" s="174"/>
    </row>
    <row r="596" spans="5:18" ht="12.75">
      <c r="E596" s="174"/>
      <c r="F596" s="174"/>
      <c r="G596" s="174"/>
      <c r="P596" s="174"/>
      <c r="Q596" s="174"/>
      <c r="R596" s="174"/>
    </row>
    <row r="597" spans="5:18" ht="12.75">
      <c r="E597" s="174"/>
      <c r="F597" s="174"/>
      <c r="G597" s="174"/>
      <c r="P597" s="174"/>
      <c r="Q597" s="174"/>
      <c r="R597" s="174"/>
    </row>
    <row r="598" spans="5:18" ht="12.75">
      <c r="E598" s="174"/>
      <c r="F598" s="174"/>
      <c r="G598" s="174"/>
      <c r="P598" s="174"/>
      <c r="Q598" s="174"/>
      <c r="R598" s="174"/>
    </row>
    <row r="599" spans="5:18" ht="12.75">
      <c r="E599" s="174"/>
      <c r="F599" s="174"/>
      <c r="G599" s="174"/>
      <c r="P599" s="174"/>
      <c r="Q599" s="174"/>
      <c r="R599" s="174"/>
    </row>
    <row r="600" spans="5:18" ht="12.75">
      <c r="E600" s="174"/>
      <c r="F600" s="174"/>
      <c r="G600" s="174"/>
      <c r="P600" s="174"/>
      <c r="Q600" s="174"/>
      <c r="R600" s="174"/>
    </row>
    <row r="601" spans="5:18" ht="12.75">
      <c r="E601" s="174"/>
      <c r="F601" s="174"/>
      <c r="G601" s="174"/>
      <c r="P601" s="174"/>
      <c r="Q601" s="174"/>
      <c r="R601" s="174"/>
    </row>
    <row r="602" spans="5:18" ht="12.75">
      <c r="E602" s="174"/>
      <c r="F602" s="174"/>
      <c r="G602" s="174"/>
      <c r="P602" s="174"/>
      <c r="Q602" s="174"/>
      <c r="R602" s="174"/>
    </row>
    <row r="603" spans="5:18" ht="12.75">
      <c r="E603" s="174"/>
      <c r="F603" s="174"/>
      <c r="G603" s="174"/>
      <c r="P603" s="174"/>
      <c r="Q603" s="174"/>
      <c r="R603" s="174"/>
    </row>
    <row r="604" spans="5:18" ht="12.75">
      <c r="E604" s="174"/>
      <c r="F604" s="174"/>
      <c r="G604" s="174"/>
      <c r="P604" s="174"/>
      <c r="Q604" s="174"/>
      <c r="R604" s="174"/>
    </row>
    <row r="605" spans="5:18" ht="12.75">
      <c r="E605" s="174"/>
      <c r="F605" s="174"/>
      <c r="G605" s="174"/>
      <c r="P605" s="174"/>
      <c r="Q605" s="174"/>
      <c r="R605" s="174"/>
    </row>
    <row r="606" spans="5:18" ht="12.75">
      <c r="E606" s="174"/>
      <c r="F606" s="174"/>
      <c r="G606" s="174"/>
      <c r="P606" s="174"/>
      <c r="Q606" s="174"/>
      <c r="R606" s="174"/>
    </row>
    <row r="607" spans="5:18" ht="12.75">
      <c r="E607" s="174"/>
      <c r="F607" s="174"/>
      <c r="G607" s="174"/>
      <c r="P607" s="174"/>
      <c r="Q607" s="174"/>
      <c r="R607" s="174"/>
    </row>
    <row r="608" spans="5:18" ht="12.75">
      <c r="E608" s="174"/>
      <c r="F608" s="174"/>
      <c r="G608" s="174"/>
      <c r="P608" s="174"/>
      <c r="Q608" s="174"/>
      <c r="R608" s="174"/>
    </row>
    <row r="609" spans="5:18" ht="12.75">
      <c r="E609" s="174"/>
      <c r="F609" s="174"/>
      <c r="G609" s="174"/>
      <c r="P609" s="174"/>
      <c r="Q609" s="174"/>
      <c r="R609" s="174"/>
    </row>
    <row r="610" spans="5:18" ht="12.75">
      <c r="E610" s="174"/>
      <c r="F610" s="174"/>
      <c r="G610" s="174"/>
      <c r="P610" s="174"/>
      <c r="Q610" s="174"/>
      <c r="R610" s="174"/>
    </row>
    <row r="611" spans="5:18" ht="12.75">
      <c r="E611" s="174"/>
      <c r="F611" s="174"/>
      <c r="G611" s="174"/>
      <c r="P611" s="174"/>
      <c r="Q611" s="174"/>
      <c r="R611" s="174"/>
    </row>
    <row r="612" spans="5:18" ht="12.75">
      <c r="E612" s="174"/>
      <c r="F612" s="174"/>
      <c r="G612" s="174"/>
      <c r="P612" s="174"/>
      <c r="Q612" s="174"/>
      <c r="R612" s="174"/>
    </row>
    <row r="613" spans="5:18" ht="12.75">
      <c r="E613" s="174"/>
      <c r="F613" s="174"/>
      <c r="G613" s="174"/>
      <c r="P613" s="174"/>
      <c r="Q613" s="174"/>
      <c r="R613" s="174"/>
    </row>
    <row r="614" spans="5:18" ht="12.75">
      <c r="E614" s="174"/>
      <c r="F614" s="174"/>
      <c r="G614" s="174"/>
      <c r="P614" s="174"/>
      <c r="Q614" s="174"/>
      <c r="R614" s="174"/>
    </row>
    <row r="615" spans="5:18" ht="12.75">
      <c r="E615" s="174"/>
      <c r="F615" s="174"/>
      <c r="G615" s="174"/>
      <c r="P615" s="174"/>
      <c r="Q615" s="174"/>
      <c r="R615" s="174"/>
    </row>
    <row r="616" spans="5:18" ht="12.75">
      <c r="E616" s="174"/>
      <c r="F616" s="174"/>
      <c r="G616" s="174"/>
      <c r="P616" s="174"/>
      <c r="Q616" s="174"/>
      <c r="R616" s="174"/>
    </row>
    <row r="617" spans="5:18" ht="12.75">
      <c r="E617" s="174"/>
      <c r="F617" s="174"/>
      <c r="G617" s="174"/>
      <c r="P617" s="174"/>
      <c r="Q617" s="174"/>
      <c r="R617" s="174"/>
    </row>
    <row r="618" spans="5:18" ht="12.75">
      <c r="E618" s="174"/>
      <c r="F618" s="174"/>
      <c r="G618" s="174"/>
      <c r="P618" s="174"/>
      <c r="Q618" s="174"/>
      <c r="R618" s="174"/>
    </row>
    <row r="619" spans="5:18" ht="12.75">
      <c r="E619" s="174"/>
      <c r="F619" s="174"/>
      <c r="G619" s="174"/>
      <c r="P619" s="174"/>
      <c r="Q619" s="174"/>
      <c r="R619" s="174"/>
    </row>
    <row r="620" spans="5:18" ht="12.75">
      <c r="E620" s="174"/>
      <c r="F620" s="174"/>
      <c r="G620" s="174"/>
      <c r="P620" s="174"/>
      <c r="Q620" s="174"/>
      <c r="R620" s="174"/>
    </row>
    <row r="621" spans="5:18" ht="12.75">
      <c r="E621" s="174"/>
      <c r="F621" s="174"/>
      <c r="G621" s="174"/>
      <c r="P621" s="174"/>
      <c r="Q621" s="174"/>
      <c r="R621" s="174"/>
    </row>
    <row r="622" spans="5:18" ht="12.75">
      <c r="E622" s="174"/>
      <c r="F622" s="174"/>
      <c r="G622" s="174"/>
      <c r="P622" s="174"/>
      <c r="Q622" s="174"/>
      <c r="R622" s="174"/>
    </row>
    <row r="623" spans="5:18" ht="12.75">
      <c r="E623" s="174"/>
      <c r="F623" s="174"/>
      <c r="G623" s="174"/>
      <c r="P623" s="174"/>
      <c r="Q623" s="174"/>
      <c r="R623" s="174"/>
    </row>
    <row r="624" spans="5:18" ht="12.75">
      <c r="E624" s="174"/>
      <c r="F624" s="174"/>
      <c r="G624" s="174"/>
      <c r="P624" s="174"/>
      <c r="Q624" s="174"/>
      <c r="R624" s="174"/>
    </row>
    <row r="625" spans="5:18" ht="12.75">
      <c r="E625" s="174"/>
      <c r="F625" s="174"/>
      <c r="G625" s="174"/>
      <c r="P625" s="174"/>
      <c r="Q625" s="174"/>
      <c r="R625" s="174"/>
    </row>
    <row r="626" spans="5:18" ht="12.75">
      <c r="E626" s="174"/>
      <c r="F626" s="174"/>
      <c r="G626" s="174"/>
      <c r="P626" s="174"/>
      <c r="Q626" s="174"/>
      <c r="R626" s="174"/>
    </row>
    <row r="627" spans="5:18" ht="12.75">
      <c r="E627" s="174"/>
      <c r="F627" s="174"/>
      <c r="G627" s="174"/>
      <c r="P627" s="174"/>
      <c r="Q627" s="174"/>
      <c r="R627" s="174"/>
    </row>
    <row r="628" spans="5:18" ht="12.75">
      <c r="E628" s="174"/>
      <c r="F628" s="174"/>
      <c r="G628" s="174"/>
      <c r="P628" s="174"/>
      <c r="Q628" s="174"/>
      <c r="R628" s="174"/>
    </row>
    <row r="629" spans="5:18" ht="12.75">
      <c r="E629" s="174"/>
      <c r="F629" s="174"/>
      <c r="G629" s="174"/>
      <c r="P629" s="174"/>
      <c r="Q629" s="174"/>
      <c r="R629" s="174"/>
    </row>
    <row r="630" spans="5:18" ht="12.75">
      <c r="E630" s="174"/>
      <c r="F630" s="174"/>
      <c r="G630" s="174"/>
      <c r="P630" s="174"/>
      <c r="Q630" s="174"/>
      <c r="R630" s="174"/>
    </row>
    <row r="631" spans="5:18" ht="12.75">
      <c r="E631" s="174"/>
      <c r="F631" s="174"/>
      <c r="G631" s="174"/>
      <c r="P631" s="174"/>
      <c r="Q631" s="174"/>
      <c r="R631" s="174"/>
    </row>
    <row r="632" spans="5:18" ht="12.75">
      <c r="E632" s="174"/>
      <c r="F632" s="174"/>
      <c r="G632" s="174"/>
      <c r="P632" s="174"/>
      <c r="Q632" s="174"/>
      <c r="R632" s="174"/>
    </row>
    <row r="633" spans="5:18" ht="12.75">
      <c r="E633" s="174"/>
      <c r="F633" s="174"/>
      <c r="G633" s="174"/>
      <c r="P633" s="174"/>
      <c r="Q633" s="174"/>
      <c r="R633" s="174"/>
    </row>
    <row r="634" spans="5:18" ht="12.75">
      <c r="E634" s="174"/>
      <c r="F634" s="174"/>
      <c r="G634" s="174"/>
      <c r="P634" s="174"/>
      <c r="Q634" s="174"/>
      <c r="R634" s="174"/>
    </row>
    <row r="635" spans="5:18" ht="12.75">
      <c r="E635" s="174"/>
      <c r="F635" s="174"/>
      <c r="G635" s="174"/>
      <c r="P635" s="174"/>
      <c r="Q635" s="174"/>
      <c r="R635" s="174"/>
    </row>
    <row r="636" spans="5:18" ht="12.75">
      <c r="E636" s="174"/>
      <c r="F636" s="174"/>
      <c r="G636" s="174"/>
      <c r="P636" s="174"/>
      <c r="Q636" s="174"/>
      <c r="R636" s="174"/>
    </row>
    <row r="637" spans="5:18" ht="12.75">
      <c r="E637" s="174"/>
      <c r="F637" s="174"/>
      <c r="G637" s="174"/>
      <c r="P637" s="174"/>
      <c r="Q637" s="174"/>
      <c r="R637" s="174"/>
    </row>
    <row r="638" spans="5:18" ht="12.75">
      <c r="E638" s="174"/>
      <c r="F638" s="174"/>
      <c r="G638" s="174"/>
      <c r="P638" s="174"/>
      <c r="Q638" s="174"/>
      <c r="R638" s="174"/>
    </row>
    <row r="639" spans="5:18" ht="12.75">
      <c r="E639" s="174"/>
      <c r="F639" s="174"/>
      <c r="G639" s="174"/>
      <c r="P639" s="174"/>
      <c r="Q639" s="174"/>
      <c r="R639" s="174"/>
    </row>
    <row r="640" spans="5:18" ht="12.75">
      <c r="E640" s="174"/>
      <c r="F640" s="174"/>
      <c r="G640" s="174"/>
      <c r="P640" s="174"/>
      <c r="Q640" s="174"/>
      <c r="R640" s="174"/>
    </row>
    <row r="641" spans="5:18" ht="12.75">
      <c r="E641" s="174"/>
      <c r="F641" s="174"/>
      <c r="G641" s="174"/>
      <c r="P641" s="174"/>
      <c r="Q641" s="174"/>
      <c r="R641" s="174"/>
    </row>
    <row r="642" spans="5:18" ht="12.75">
      <c r="E642" s="174"/>
      <c r="F642" s="174"/>
      <c r="G642" s="174"/>
      <c r="P642" s="174"/>
      <c r="Q642" s="174"/>
      <c r="R642" s="174"/>
    </row>
    <row r="643" spans="5:18" ht="12.75">
      <c r="E643" s="174"/>
      <c r="F643" s="174"/>
      <c r="G643" s="174"/>
      <c r="P643" s="174"/>
      <c r="Q643" s="174"/>
      <c r="R643" s="174"/>
    </row>
    <row r="644" spans="5:18" ht="12.75">
      <c r="E644" s="174"/>
      <c r="F644" s="174"/>
      <c r="G644" s="174"/>
      <c r="P644" s="174"/>
      <c r="Q644" s="174"/>
      <c r="R644" s="174"/>
    </row>
    <row r="645" spans="5:18" ht="12.75">
      <c r="E645" s="174"/>
      <c r="F645" s="174"/>
      <c r="G645" s="174"/>
      <c r="P645" s="174"/>
      <c r="Q645" s="174"/>
      <c r="R645" s="174"/>
    </row>
    <row r="646" spans="5:18" ht="12.75">
      <c r="E646" s="174"/>
      <c r="F646" s="174"/>
      <c r="G646" s="174"/>
      <c r="P646" s="174"/>
      <c r="Q646" s="174"/>
      <c r="R646" s="174"/>
    </row>
    <row r="647" spans="5:18" ht="12.75">
      <c r="E647" s="174"/>
      <c r="F647" s="174"/>
      <c r="G647" s="174"/>
      <c r="P647" s="174"/>
      <c r="Q647" s="174"/>
      <c r="R647" s="174"/>
    </row>
    <row r="648" spans="5:18" ht="12.75">
      <c r="E648" s="174"/>
      <c r="F648" s="174"/>
      <c r="G648" s="174"/>
      <c r="P648" s="174"/>
      <c r="Q648" s="174"/>
      <c r="R648" s="174"/>
    </row>
    <row r="649" spans="5:18" ht="12.75">
      <c r="E649" s="174"/>
      <c r="F649" s="174"/>
      <c r="G649" s="174"/>
      <c r="P649" s="174"/>
      <c r="Q649" s="174"/>
      <c r="R649" s="174"/>
    </row>
    <row r="650" spans="5:18" ht="12.75">
      <c r="E650" s="174"/>
      <c r="F650" s="174"/>
      <c r="G650" s="174"/>
      <c r="P650" s="174"/>
      <c r="Q650" s="174"/>
      <c r="R650" s="174"/>
    </row>
    <row r="651" spans="5:18" ht="12.75">
      <c r="E651" s="174"/>
      <c r="F651" s="174"/>
      <c r="G651" s="174"/>
      <c r="P651" s="174"/>
      <c r="Q651" s="174"/>
      <c r="R651" s="174"/>
    </row>
    <row r="652" spans="5:18" ht="12.75">
      <c r="E652" s="174"/>
      <c r="F652" s="174"/>
      <c r="G652" s="174"/>
      <c r="P652" s="174"/>
      <c r="Q652" s="174"/>
      <c r="R652" s="174"/>
    </row>
    <row r="653" spans="5:18" ht="12.75">
      <c r="E653" s="174"/>
      <c r="F653" s="174"/>
      <c r="G653" s="174"/>
      <c r="P653" s="174"/>
      <c r="Q653" s="174"/>
      <c r="R653" s="174"/>
    </row>
    <row r="654" spans="5:18" ht="12.75">
      <c r="E654" s="174"/>
      <c r="F654" s="174"/>
      <c r="G654" s="174"/>
      <c r="P654" s="174"/>
      <c r="Q654" s="174"/>
      <c r="R654" s="174"/>
    </row>
    <row r="655" spans="5:18" ht="12.75">
      <c r="E655" s="174"/>
      <c r="F655" s="174"/>
      <c r="G655" s="174"/>
      <c r="P655" s="174"/>
      <c r="Q655" s="174"/>
      <c r="R655" s="174"/>
    </row>
    <row r="656" spans="5:18" ht="12.75">
      <c r="E656" s="174"/>
      <c r="F656" s="174"/>
      <c r="G656" s="174"/>
      <c r="P656" s="174"/>
      <c r="Q656" s="174"/>
      <c r="R656" s="174"/>
    </row>
    <row r="657" spans="5:18" ht="12.75">
      <c r="E657" s="174"/>
      <c r="F657" s="174"/>
      <c r="G657" s="174"/>
      <c r="P657" s="174"/>
      <c r="Q657" s="174"/>
      <c r="R657" s="174"/>
    </row>
    <row r="658" spans="5:18" ht="12.75">
      <c r="E658" s="174"/>
      <c r="F658" s="174"/>
      <c r="G658" s="174"/>
      <c r="P658" s="174"/>
      <c r="Q658" s="174"/>
      <c r="R658" s="174"/>
    </row>
    <row r="659" spans="5:18" ht="12.75">
      <c r="E659" s="174"/>
      <c r="F659" s="174"/>
      <c r="G659" s="174"/>
      <c r="P659" s="174"/>
      <c r="Q659" s="174"/>
      <c r="R659" s="174"/>
    </row>
    <row r="660" spans="5:18" ht="12.75">
      <c r="E660" s="174"/>
      <c r="F660" s="174"/>
      <c r="G660" s="174"/>
      <c r="P660" s="174"/>
      <c r="Q660" s="174"/>
      <c r="R660" s="174"/>
    </row>
    <row r="661" spans="5:18" ht="12.75">
      <c r="E661" s="174"/>
      <c r="F661" s="174"/>
      <c r="G661" s="174"/>
      <c r="P661" s="174"/>
      <c r="Q661" s="174"/>
      <c r="R661" s="174"/>
    </row>
    <row r="662" spans="5:18" ht="12.75">
      <c r="E662" s="174"/>
      <c r="F662" s="174"/>
      <c r="G662" s="174"/>
      <c r="P662" s="174"/>
      <c r="Q662" s="174"/>
      <c r="R662" s="174"/>
    </row>
    <row r="663" spans="5:18" ht="12.75">
      <c r="E663" s="174"/>
      <c r="F663" s="174"/>
      <c r="G663" s="174"/>
      <c r="P663" s="174"/>
      <c r="Q663" s="174"/>
      <c r="R663" s="174"/>
    </row>
    <row r="664" spans="5:18" ht="12.75">
      <c r="E664" s="174"/>
      <c r="F664" s="174"/>
      <c r="G664" s="174"/>
      <c r="P664" s="174"/>
      <c r="Q664" s="174"/>
      <c r="R664" s="174"/>
    </row>
    <row r="665" spans="5:18" ht="12.75">
      <c r="E665" s="174"/>
      <c r="F665" s="174"/>
      <c r="G665" s="174"/>
      <c r="P665" s="174"/>
      <c r="Q665" s="174"/>
      <c r="R665" s="174"/>
    </row>
    <row r="666" spans="5:18" ht="12.75">
      <c r="E666" s="174"/>
      <c r="F666" s="174"/>
      <c r="G666" s="174"/>
      <c r="P666" s="174"/>
      <c r="Q666" s="174"/>
      <c r="R666" s="174"/>
    </row>
    <row r="667" spans="5:18" ht="12.75">
      <c r="E667" s="174"/>
      <c r="F667" s="174"/>
      <c r="G667" s="174"/>
      <c r="P667" s="174"/>
      <c r="Q667" s="174"/>
      <c r="R667" s="174"/>
    </row>
    <row r="668" spans="5:18" ht="12.75">
      <c r="E668" s="174"/>
      <c r="F668" s="174"/>
      <c r="G668" s="174"/>
      <c r="P668" s="174"/>
      <c r="Q668" s="174"/>
      <c r="R668" s="174"/>
    </row>
    <row r="669" spans="5:18" ht="12.75">
      <c r="E669" s="174"/>
      <c r="F669" s="174"/>
      <c r="G669" s="174"/>
      <c r="P669" s="174"/>
      <c r="Q669" s="174"/>
      <c r="R669" s="174"/>
    </row>
    <row r="670" spans="5:18" ht="12.75">
      <c r="E670" s="174"/>
      <c r="F670" s="174"/>
      <c r="G670" s="174"/>
      <c r="P670" s="174"/>
      <c r="Q670" s="174"/>
      <c r="R670" s="174"/>
    </row>
    <row r="671" spans="5:18" ht="12.75">
      <c r="E671" s="174"/>
      <c r="F671" s="174"/>
      <c r="G671" s="174"/>
      <c r="P671" s="174"/>
      <c r="Q671" s="174"/>
      <c r="R671" s="174"/>
    </row>
    <row r="672" spans="5:18" ht="12.75">
      <c r="E672" s="174"/>
      <c r="F672" s="174"/>
      <c r="G672" s="174"/>
      <c r="P672" s="174"/>
      <c r="Q672" s="174"/>
      <c r="R672" s="174"/>
    </row>
    <row r="673" spans="5:18" ht="12.75">
      <c r="E673" s="174"/>
      <c r="F673" s="174"/>
      <c r="G673" s="174"/>
      <c r="P673" s="174"/>
      <c r="Q673" s="174"/>
      <c r="R673" s="174"/>
    </row>
    <row r="674" spans="5:18" ht="12.75">
      <c r="E674" s="174"/>
      <c r="F674" s="174"/>
      <c r="G674" s="174"/>
      <c r="P674" s="174"/>
      <c r="Q674" s="174"/>
      <c r="R674" s="174"/>
    </row>
    <row r="675" spans="5:18" ht="12.75">
      <c r="E675" s="174"/>
      <c r="F675" s="174"/>
      <c r="G675" s="174"/>
      <c r="P675" s="174"/>
      <c r="Q675" s="174"/>
      <c r="R675" s="174"/>
    </row>
    <row r="676" spans="5:18" ht="12.75">
      <c r="E676" s="174"/>
      <c r="F676" s="174"/>
      <c r="G676" s="174"/>
      <c r="P676" s="174"/>
      <c r="Q676" s="174"/>
      <c r="R676" s="174"/>
    </row>
    <row r="677" spans="5:18" ht="12.75">
      <c r="E677" s="174"/>
      <c r="F677" s="174"/>
      <c r="G677" s="174"/>
      <c r="P677" s="174"/>
      <c r="Q677" s="174"/>
      <c r="R677" s="174"/>
    </row>
    <row r="678" spans="5:18" ht="12.75">
      <c r="E678" s="174"/>
      <c r="F678" s="174"/>
      <c r="G678" s="174"/>
      <c r="P678" s="174"/>
      <c r="Q678" s="174"/>
      <c r="R678" s="174"/>
    </row>
    <row r="679" spans="5:18" ht="12.75">
      <c r="E679" s="174"/>
      <c r="F679" s="174"/>
      <c r="G679" s="174"/>
      <c r="P679" s="174"/>
      <c r="Q679" s="174"/>
      <c r="R679" s="174"/>
    </row>
    <row r="680" spans="5:18" ht="12.75">
      <c r="E680" s="174"/>
      <c r="F680" s="174"/>
      <c r="G680" s="174"/>
      <c r="P680" s="174"/>
      <c r="Q680" s="174"/>
      <c r="R680" s="174"/>
    </row>
    <row r="681" spans="5:18" ht="12.75">
      <c r="E681" s="174"/>
      <c r="F681" s="174"/>
      <c r="G681" s="174"/>
      <c r="P681" s="174"/>
      <c r="Q681" s="174"/>
      <c r="R681" s="174"/>
    </row>
    <row r="682" spans="5:18" ht="12.75">
      <c r="E682" s="174"/>
      <c r="F682" s="174"/>
      <c r="G682" s="174"/>
      <c r="P682" s="174"/>
      <c r="Q682" s="174"/>
      <c r="R682" s="174"/>
    </row>
    <row r="683" spans="5:18" ht="12.75">
      <c r="E683" s="174"/>
      <c r="F683" s="174"/>
      <c r="G683" s="174"/>
      <c r="P683" s="174"/>
      <c r="Q683" s="174"/>
      <c r="R683" s="174"/>
    </row>
    <row r="684" spans="5:18" ht="12.75">
      <c r="E684" s="174"/>
      <c r="F684" s="174"/>
      <c r="G684" s="174"/>
      <c r="P684" s="174"/>
      <c r="Q684" s="174"/>
      <c r="R684" s="174"/>
    </row>
    <row r="685" spans="5:18" ht="12.75">
      <c r="E685" s="174"/>
      <c r="F685" s="174"/>
      <c r="G685" s="174"/>
      <c r="P685" s="174"/>
      <c r="Q685" s="174"/>
      <c r="R685" s="174"/>
    </row>
    <row r="686" spans="5:18" ht="12.75">
      <c r="E686" s="174"/>
      <c r="F686" s="174"/>
      <c r="G686" s="174"/>
      <c r="P686" s="174"/>
      <c r="Q686" s="174"/>
      <c r="R686" s="174"/>
    </row>
    <row r="687" spans="5:18" ht="12.75">
      <c r="E687" s="174"/>
      <c r="F687" s="174"/>
      <c r="G687" s="174"/>
      <c r="P687" s="174"/>
      <c r="Q687" s="174"/>
      <c r="R687" s="174"/>
    </row>
    <row r="688" spans="5:18" ht="12.75">
      <c r="E688" s="174"/>
      <c r="F688" s="174"/>
      <c r="G688" s="174"/>
      <c r="P688" s="174"/>
      <c r="Q688" s="174"/>
      <c r="R688" s="174"/>
    </row>
    <row r="689" spans="5:18" ht="12.75">
      <c r="E689" s="174"/>
      <c r="F689" s="174"/>
      <c r="G689" s="174"/>
      <c r="P689" s="174"/>
      <c r="Q689" s="174"/>
      <c r="R689" s="174"/>
    </row>
    <row r="690" spans="5:18" ht="12.75">
      <c r="E690" s="174"/>
      <c r="F690" s="174"/>
      <c r="G690" s="174"/>
      <c r="P690" s="174"/>
      <c r="Q690" s="174"/>
      <c r="R690" s="174"/>
    </row>
    <row r="691" spans="5:18" ht="12.75">
      <c r="E691" s="174"/>
      <c r="F691" s="174"/>
      <c r="G691" s="174"/>
      <c r="P691" s="174"/>
      <c r="Q691" s="174"/>
      <c r="R691" s="174"/>
    </row>
    <row r="692" spans="5:18" ht="12.75">
      <c r="E692" s="174"/>
      <c r="F692" s="174"/>
      <c r="G692" s="174"/>
      <c r="P692" s="174"/>
      <c r="Q692" s="174"/>
      <c r="R692" s="174"/>
    </row>
    <row r="693" spans="5:18" ht="12.75">
      <c r="E693" s="174"/>
      <c r="F693" s="174"/>
      <c r="G693" s="174"/>
      <c r="P693" s="174"/>
      <c r="Q693" s="174"/>
      <c r="R693" s="174"/>
    </row>
    <row r="694" spans="5:18" ht="12.75">
      <c r="E694" s="174"/>
      <c r="F694" s="174"/>
      <c r="G694" s="174"/>
      <c r="P694" s="174"/>
      <c r="Q694" s="174"/>
      <c r="R694" s="174"/>
    </row>
    <row r="695" spans="5:18" ht="12.75">
      <c r="E695" s="174"/>
      <c r="F695" s="174"/>
      <c r="G695" s="174"/>
      <c r="P695" s="174"/>
      <c r="Q695" s="174"/>
      <c r="R695" s="174"/>
    </row>
    <row r="696" spans="5:18" ht="12.75">
      <c r="E696" s="174"/>
      <c r="F696" s="174"/>
      <c r="G696" s="174"/>
      <c r="P696" s="174"/>
      <c r="Q696" s="174"/>
      <c r="R696" s="174"/>
    </row>
    <row r="697" spans="5:18" ht="12.75">
      <c r="E697" s="174"/>
      <c r="F697" s="174"/>
      <c r="G697" s="174"/>
      <c r="P697" s="174"/>
      <c r="Q697" s="174"/>
      <c r="R697" s="174"/>
    </row>
    <row r="698" spans="5:18" ht="12.75">
      <c r="E698" s="174"/>
      <c r="F698" s="174"/>
      <c r="G698" s="174"/>
      <c r="P698" s="174"/>
      <c r="Q698" s="174"/>
      <c r="R698" s="174"/>
    </row>
    <row r="699" spans="5:18" ht="12.75">
      <c r="E699" s="174"/>
      <c r="F699" s="174"/>
      <c r="G699" s="174"/>
      <c r="P699" s="174"/>
      <c r="Q699" s="174"/>
      <c r="R699" s="174"/>
    </row>
    <row r="700" spans="5:18" ht="12.75">
      <c r="E700" s="174"/>
      <c r="F700" s="174"/>
      <c r="G700" s="174"/>
      <c r="P700" s="174"/>
      <c r="Q700" s="174"/>
      <c r="R700" s="174"/>
    </row>
    <row r="701" spans="5:18" ht="12.75">
      <c r="E701" s="174"/>
      <c r="F701" s="174"/>
      <c r="G701" s="174"/>
      <c r="P701" s="174"/>
      <c r="Q701" s="174"/>
      <c r="R701" s="174"/>
    </row>
    <row r="702" spans="5:18" ht="12.75">
      <c r="E702" s="174"/>
      <c r="F702" s="174"/>
      <c r="G702" s="174"/>
      <c r="P702" s="174"/>
      <c r="Q702" s="174"/>
      <c r="R702" s="174"/>
    </row>
    <row r="703" spans="5:18" ht="12.75">
      <c r="E703" s="174"/>
      <c r="F703" s="174"/>
      <c r="G703" s="174"/>
      <c r="P703" s="174"/>
      <c r="Q703" s="174"/>
      <c r="R703" s="174"/>
    </row>
    <row r="704" spans="5:18" ht="12.75">
      <c r="E704" s="174"/>
      <c r="F704" s="174"/>
      <c r="G704" s="174"/>
      <c r="P704" s="174"/>
      <c r="Q704" s="174"/>
      <c r="R704" s="174"/>
    </row>
    <row r="705" spans="5:18" ht="12.75">
      <c r="E705" s="174"/>
      <c r="F705" s="174"/>
      <c r="G705" s="174"/>
      <c r="P705" s="174"/>
      <c r="Q705" s="174"/>
      <c r="R705" s="174"/>
    </row>
    <row r="706" spans="5:18" ht="12.75">
      <c r="E706" s="174"/>
      <c r="F706" s="174"/>
      <c r="G706" s="174"/>
      <c r="P706" s="174"/>
      <c r="Q706" s="174"/>
      <c r="R706" s="174"/>
    </row>
    <row r="707" spans="5:18" ht="12.75">
      <c r="E707" s="174"/>
      <c r="F707" s="174"/>
      <c r="G707" s="174"/>
      <c r="P707" s="174"/>
      <c r="Q707" s="174"/>
      <c r="R707" s="174"/>
    </row>
    <row r="708" spans="5:18" ht="12.75">
      <c r="E708" s="174"/>
      <c r="F708" s="174"/>
      <c r="G708" s="174"/>
      <c r="P708" s="174"/>
      <c r="Q708" s="174"/>
      <c r="R708" s="174"/>
    </row>
    <row r="709" spans="5:18" ht="12.75">
      <c r="E709" s="174"/>
      <c r="F709" s="174"/>
      <c r="G709" s="174"/>
      <c r="P709" s="174"/>
      <c r="Q709" s="174"/>
      <c r="R709" s="174"/>
    </row>
    <row r="710" spans="5:18" ht="12.75">
      <c r="E710" s="174"/>
      <c r="F710" s="174"/>
      <c r="G710" s="174"/>
      <c r="P710" s="174"/>
      <c r="Q710" s="174"/>
      <c r="R710" s="174"/>
    </row>
    <row r="711" spans="5:18" ht="12.75">
      <c r="E711" s="174"/>
      <c r="F711" s="174"/>
      <c r="G711" s="174"/>
      <c r="P711" s="174"/>
      <c r="Q711" s="174"/>
      <c r="R711" s="174"/>
    </row>
    <row r="712" spans="5:18" ht="12.75">
      <c r="E712" s="174"/>
      <c r="F712" s="174"/>
      <c r="G712" s="174"/>
      <c r="P712" s="174"/>
      <c r="Q712" s="174"/>
      <c r="R712" s="174"/>
    </row>
    <row r="713" spans="5:18" ht="12.75">
      <c r="E713" s="174"/>
      <c r="F713" s="174"/>
      <c r="G713" s="174"/>
      <c r="P713" s="174"/>
      <c r="Q713" s="174"/>
      <c r="R713" s="174"/>
    </row>
    <row r="714" spans="5:18" ht="12.75">
      <c r="E714" s="174"/>
      <c r="F714" s="174"/>
      <c r="G714" s="174"/>
      <c r="P714" s="174"/>
      <c r="Q714" s="174"/>
      <c r="R714" s="174"/>
    </row>
  </sheetData>
  <printOptions/>
  <pageMargins left="0.5" right="0.5" top="0.75" bottom="0.5" header="0.25" footer="0"/>
  <pageSetup horizontalDpi="600" verticalDpi="600" orientation="landscape" scale="68" r:id="rId1"/>
  <rowBreaks count="1" manualBreakCount="1">
    <brk id="3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38"/>
  <sheetViews>
    <sheetView zoomScale="75" zoomScaleNormal="75" workbookViewId="0" topLeftCell="A2">
      <pane xSplit="4" ySplit="6" topLeftCell="E2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74" sqref="C74"/>
    </sheetView>
  </sheetViews>
  <sheetFormatPr defaultColWidth="9.140625" defaultRowHeight="12.75" outlineLevelRow="1"/>
  <cols>
    <col min="1" max="1" width="3.421875" style="2" hidden="1" customWidth="1"/>
    <col min="2" max="2" width="3.421875" style="175" customWidth="1"/>
    <col min="3" max="3" width="86.8515625" style="175" customWidth="1"/>
    <col min="4" max="4" width="15.7109375" style="175" customWidth="1"/>
    <col min="5" max="5" width="19.57421875" style="175" customWidth="1"/>
    <col min="6" max="7" width="19.57421875" style="175" hidden="1" customWidth="1"/>
    <col min="8" max="8" width="19.421875" style="174" customWidth="1"/>
    <col min="9" max="9" width="17.57421875" style="174" customWidth="1"/>
    <col min="10" max="10" width="0" style="2" hidden="1" customWidth="1"/>
    <col min="11" max="16384" width="8.00390625" style="263" customWidth="1"/>
  </cols>
  <sheetData>
    <row r="1" spans="1:9" ht="110.25" customHeight="1" hidden="1">
      <c r="A1" s="246" t="s">
        <v>1557</v>
      </c>
      <c r="B1" s="175" t="s">
        <v>2792</v>
      </c>
      <c r="C1" s="175" t="s">
        <v>2793</v>
      </c>
      <c r="D1" s="175" t="s">
        <v>2792</v>
      </c>
      <c r="E1" s="175" t="s">
        <v>2792</v>
      </c>
      <c r="H1" s="174" t="s">
        <v>103</v>
      </c>
      <c r="I1" s="174" t="s">
        <v>2794</v>
      </c>
    </row>
    <row r="2" spans="1:12" ht="15.75" customHeight="1">
      <c r="A2" s="127"/>
      <c r="B2" s="5" t="str">
        <f>"University of Missouri - "&amp;RBN</f>
        <v>University of Missouri - Rolla</v>
      </c>
      <c r="C2" s="50"/>
      <c r="D2" s="50"/>
      <c r="E2" s="50"/>
      <c r="F2" s="50"/>
      <c r="G2" s="50"/>
      <c r="H2" s="50"/>
      <c r="I2" s="233"/>
      <c r="J2" s="10"/>
      <c r="L2" s="264" t="s">
        <v>118</v>
      </c>
    </row>
    <row r="3" spans="1:10" ht="15.75" customHeight="1">
      <c r="A3" s="127"/>
      <c r="B3" s="11" t="s">
        <v>1558</v>
      </c>
      <c r="C3" s="51"/>
      <c r="D3" s="51"/>
      <c r="E3" s="51"/>
      <c r="F3" s="51"/>
      <c r="G3" s="51"/>
      <c r="H3" s="51"/>
      <c r="I3" s="186"/>
      <c r="J3" s="10"/>
    </row>
    <row r="4" spans="1:10" ht="15.75" customHeight="1">
      <c r="A4" s="131"/>
      <c r="B4" s="86" t="str">
        <f>"For the Year Ending "&amp;TEXT(J4,"MMMM DD, YYY")</f>
        <v>For the Year Ending June 30, 2006</v>
      </c>
      <c r="C4" s="265"/>
      <c r="D4" s="265"/>
      <c r="E4" s="265"/>
      <c r="F4" s="265"/>
      <c r="G4" s="265"/>
      <c r="H4" s="265"/>
      <c r="I4" s="266"/>
      <c r="J4" s="136" t="s">
        <v>117</v>
      </c>
    </row>
    <row r="5" spans="1:10" ht="12.75" customHeight="1">
      <c r="A5" s="127"/>
      <c r="B5" s="236"/>
      <c r="C5" s="237"/>
      <c r="D5" s="185"/>
      <c r="E5" s="237"/>
      <c r="F5" s="237"/>
      <c r="G5" s="237"/>
      <c r="H5" s="237"/>
      <c r="I5" s="267"/>
      <c r="J5" s="10"/>
    </row>
    <row r="6" spans="2:9" ht="12.75" customHeight="1">
      <c r="B6" s="205"/>
      <c r="C6" s="63"/>
      <c r="D6" s="63"/>
      <c r="E6" s="268" t="s">
        <v>126</v>
      </c>
      <c r="F6" s="269"/>
      <c r="G6" s="269"/>
      <c r="H6" s="269"/>
      <c r="I6" s="154" t="s">
        <v>122</v>
      </c>
    </row>
    <row r="7" spans="2:9" ht="12.75" customHeight="1">
      <c r="B7" s="207"/>
      <c r="C7" s="269"/>
      <c r="D7" s="269"/>
      <c r="E7" s="270" t="s">
        <v>2915</v>
      </c>
      <c r="F7" s="240" t="s">
        <v>1559</v>
      </c>
      <c r="G7" s="240" t="s">
        <v>1560</v>
      </c>
      <c r="H7" s="240" t="s">
        <v>119</v>
      </c>
      <c r="I7" s="154" t="s">
        <v>125</v>
      </c>
    </row>
    <row r="8" spans="2:9" ht="12.75" customHeight="1">
      <c r="B8" s="242"/>
      <c r="C8" s="243"/>
      <c r="D8" s="244"/>
      <c r="E8" s="196"/>
      <c r="F8" s="196"/>
      <c r="G8" s="196"/>
      <c r="H8" s="196"/>
      <c r="I8" s="271"/>
    </row>
    <row r="9" spans="2:9" ht="12.75" customHeight="1">
      <c r="B9" s="64" t="s">
        <v>2828</v>
      </c>
      <c r="C9" s="211"/>
      <c r="D9" s="65"/>
      <c r="E9" s="193"/>
      <c r="F9" s="193"/>
      <c r="G9" s="193"/>
      <c r="H9" s="193"/>
      <c r="I9" s="193"/>
    </row>
    <row r="10" spans="1:10" s="272" customFormat="1" ht="12.75" customHeight="1">
      <c r="A10" s="164" t="s">
        <v>2792</v>
      </c>
      <c r="B10" s="213"/>
      <c r="C10" s="212" t="s">
        <v>1561</v>
      </c>
      <c r="D10" s="214"/>
      <c r="E10" s="193" t="s">
        <v>2792</v>
      </c>
      <c r="F10" s="193"/>
      <c r="G10" s="193"/>
      <c r="H10" s="193"/>
      <c r="I10" s="193"/>
      <c r="J10" s="164"/>
    </row>
    <row r="11" spans="1:10" s="272" customFormat="1" ht="12.75" customHeight="1">
      <c r="A11" s="164" t="s">
        <v>1562</v>
      </c>
      <c r="B11" s="213"/>
      <c r="C11" s="212" t="s">
        <v>1563</v>
      </c>
      <c r="D11" s="214"/>
      <c r="E11" s="215">
        <v>40624559.86</v>
      </c>
      <c r="F11" s="215"/>
      <c r="G11" s="215"/>
      <c r="H11" s="215">
        <v>0</v>
      </c>
      <c r="I11" s="215">
        <f aca="true" t="shared" si="0" ref="I11:I23">E11+H11</f>
        <v>40624559.86</v>
      </c>
      <c r="J11" s="164"/>
    </row>
    <row r="12" spans="1:10" s="272" customFormat="1" ht="12.75" customHeight="1">
      <c r="A12" s="164" t="s">
        <v>1564</v>
      </c>
      <c r="B12" s="213"/>
      <c r="C12" s="212" t="s">
        <v>1565</v>
      </c>
      <c r="D12" s="214"/>
      <c r="E12" s="116">
        <v>3404596.3</v>
      </c>
      <c r="F12" s="116"/>
      <c r="G12" s="116"/>
      <c r="H12" s="116">
        <v>0</v>
      </c>
      <c r="I12" s="116">
        <f t="shared" si="0"/>
        <v>3404596.3</v>
      </c>
      <c r="J12" s="164"/>
    </row>
    <row r="13" spans="1:10" s="272" customFormat="1" ht="12.75" customHeight="1">
      <c r="A13" s="164" t="s">
        <v>1566</v>
      </c>
      <c r="B13" s="213"/>
      <c r="C13" s="212" t="s">
        <v>1567</v>
      </c>
      <c r="D13" s="214"/>
      <c r="E13" s="116">
        <v>1154451.94</v>
      </c>
      <c r="F13" s="116"/>
      <c r="G13" s="116"/>
      <c r="H13" s="116">
        <v>0</v>
      </c>
      <c r="I13" s="116">
        <f t="shared" si="0"/>
        <v>1154451.94</v>
      </c>
      <c r="J13" s="164"/>
    </row>
    <row r="14" spans="1:10" s="272" customFormat="1" ht="12.75" customHeight="1">
      <c r="A14" s="164" t="s">
        <v>1568</v>
      </c>
      <c r="B14" s="213"/>
      <c r="C14" s="212" t="s">
        <v>1569</v>
      </c>
      <c r="D14" s="214"/>
      <c r="E14" s="116">
        <v>2754623</v>
      </c>
      <c r="F14" s="116"/>
      <c r="G14" s="116"/>
      <c r="H14" s="116">
        <v>0</v>
      </c>
      <c r="I14" s="116">
        <f t="shared" si="0"/>
        <v>2754623</v>
      </c>
      <c r="J14" s="164"/>
    </row>
    <row r="15" spans="1:10" s="272" customFormat="1" ht="12.75" customHeight="1">
      <c r="A15" s="164" t="s">
        <v>1570</v>
      </c>
      <c r="B15" s="213"/>
      <c r="C15" s="212" t="s">
        <v>1571</v>
      </c>
      <c r="D15" s="214"/>
      <c r="E15" s="116">
        <v>1479904.34</v>
      </c>
      <c r="F15" s="116"/>
      <c r="G15" s="116"/>
      <c r="H15" s="116">
        <v>0</v>
      </c>
      <c r="I15" s="116">
        <f t="shared" si="0"/>
        <v>1479904.34</v>
      </c>
      <c r="J15" s="164"/>
    </row>
    <row r="16" spans="1:10" s="272" customFormat="1" ht="12.75" customHeight="1">
      <c r="A16" s="164" t="s">
        <v>1572</v>
      </c>
      <c r="B16" s="213"/>
      <c r="C16" s="212" t="s">
        <v>2542</v>
      </c>
      <c r="D16" s="214"/>
      <c r="E16" s="116">
        <v>2277390.89</v>
      </c>
      <c r="F16" s="116"/>
      <c r="G16" s="116"/>
      <c r="H16" s="116">
        <v>0</v>
      </c>
      <c r="I16" s="116">
        <f t="shared" si="0"/>
        <v>2277390.89</v>
      </c>
      <c r="J16" s="164"/>
    </row>
    <row r="17" spans="1:9" ht="76.5" hidden="1" outlineLevel="1">
      <c r="A17" s="246" t="s">
        <v>3250</v>
      </c>
      <c r="C17" s="175" t="s">
        <v>3251</v>
      </c>
      <c r="H17" s="174">
        <v>4270510.57</v>
      </c>
      <c r="I17" s="174">
        <f t="shared" si="0"/>
        <v>4270510.57</v>
      </c>
    </row>
    <row r="18" spans="1:9" ht="76.5" hidden="1" outlineLevel="1">
      <c r="A18" s="246" t="s">
        <v>3253</v>
      </c>
      <c r="C18" s="175" t="s">
        <v>3254</v>
      </c>
      <c r="H18" s="174">
        <v>1101748.54</v>
      </c>
      <c r="I18" s="174">
        <f t="shared" si="0"/>
        <v>1101748.54</v>
      </c>
    </row>
    <row r="19" spans="1:9" ht="76.5" hidden="1" outlineLevel="1">
      <c r="A19" s="246" t="s">
        <v>3256</v>
      </c>
      <c r="C19" s="175" t="s">
        <v>3257</v>
      </c>
      <c r="H19" s="174">
        <v>546446.12</v>
      </c>
      <c r="I19" s="174">
        <f t="shared" si="0"/>
        <v>546446.12</v>
      </c>
    </row>
    <row r="20" spans="1:9" ht="76.5" hidden="1" outlineLevel="1">
      <c r="A20" s="246" t="s">
        <v>3259</v>
      </c>
      <c r="C20" s="175" t="s">
        <v>3260</v>
      </c>
      <c r="H20" s="174">
        <v>738935.78</v>
      </c>
      <c r="I20" s="174">
        <f t="shared" si="0"/>
        <v>738935.78</v>
      </c>
    </row>
    <row r="21" spans="1:9" ht="76.5" hidden="1" outlineLevel="1">
      <c r="A21" s="246" t="s">
        <v>3262</v>
      </c>
      <c r="C21" s="175" t="s">
        <v>3263</v>
      </c>
      <c r="H21" s="174">
        <v>7289.8</v>
      </c>
      <c r="I21" s="174">
        <f t="shared" si="0"/>
        <v>7289.8</v>
      </c>
    </row>
    <row r="22" spans="1:10" s="272" customFormat="1" ht="12.75" customHeight="1" collapsed="1">
      <c r="A22" s="164" t="s">
        <v>2543</v>
      </c>
      <c r="B22" s="213"/>
      <c r="C22" s="212" t="s">
        <v>2785</v>
      </c>
      <c r="D22" s="214"/>
      <c r="E22" s="116">
        <v>10359800.48</v>
      </c>
      <c r="F22" s="116"/>
      <c r="G22" s="116"/>
      <c r="H22" s="116">
        <v>6664930.8100000005</v>
      </c>
      <c r="I22" s="116">
        <f t="shared" si="0"/>
        <v>17024731.29</v>
      </c>
      <c r="J22" s="164"/>
    </row>
    <row r="23" spans="1:10" s="272" customFormat="1" ht="12.75" customHeight="1">
      <c r="A23" s="22"/>
      <c r="B23" s="217"/>
      <c r="C23" s="218" t="s">
        <v>2544</v>
      </c>
      <c r="D23" s="74"/>
      <c r="E23" s="117">
        <f>E11+E12+E13+E14+E15+E16-E22</f>
        <v>41335725.849999994</v>
      </c>
      <c r="F23" s="117"/>
      <c r="G23" s="117"/>
      <c r="H23" s="117">
        <f>H11+H12+H13+H14+H15+H16-H22</f>
        <v>-6664930.8100000005</v>
      </c>
      <c r="I23" s="117">
        <f t="shared" si="0"/>
        <v>34670795.03999999</v>
      </c>
      <c r="J23" s="2"/>
    </row>
    <row r="24" spans="1:10" s="272" customFormat="1" ht="12.75" customHeight="1">
      <c r="A24" s="2"/>
      <c r="B24" s="213"/>
      <c r="C24" s="212"/>
      <c r="D24" s="214"/>
      <c r="E24" s="116"/>
      <c r="F24" s="116"/>
      <c r="G24" s="116"/>
      <c r="H24" s="116"/>
      <c r="I24" s="116"/>
      <c r="J24" s="2"/>
    </row>
    <row r="25" spans="1:10" s="272" customFormat="1" ht="12.75" customHeight="1">
      <c r="A25" s="164" t="s">
        <v>2792</v>
      </c>
      <c r="B25" s="213"/>
      <c r="C25" s="212" t="s">
        <v>2545</v>
      </c>
      <c r="D25" s="214"/>
      <c r="E25" s="116" t="s">
        <v>2792</v>
      </c>
      <c r="F25" s="116"/>
      <c r="G25" s="116"/>
      <c r="H25" s="116"/>
      <c r="I25" s="116"/>
      <c r="J25" s="164"/>
    </row>
    <row r="26" spans="1:10" s="272" customFormat="1" ht="12.75" customHeight="1">
      <c r="A26" s="164"/>
      <c r="B26" s="213"/>
      <c r="C26" s="212" t="s">
        <v>2546</v>
      </c>
      <c r="D26" s="214"/>
      <c r="E26" s="116"/>
      <c r="F26" s="116"/>
      <c r="G26" s="116"/>
      <c r="H26" s="116"/>
      <c r="I26" s="116"/>
      <c r="J26" s="164"/>
    </row>
    <row r="27" spans="1:10" s="272" customFormat="1" ht="12.75" customHeight="1">
      <c r="A27" s="164" t="s">
        <v>2792</v>
      </c>
      <c r="B27" s="213"/>
      <c r="C27" s="212" t="s">
        <v>2547</v>
      </c>
      <c r="D27" s="214"/>
      <c r="E27" s="116">
        <v>0</v>
      </c>
      <c r="F27" s="116">
        <v>-2925.29</v>
      </c>
      <c r="G27" s="116">
        <v>106784.88</v>
      </c>
      <c r="H27" s="116">
        <f aca="true" t="shared" si="1" ref="H27:H40">F27+G27</f>
        <v>103859.59000000001</v>
      </c>
      <c r="I27" s="116">
        <f aca="true" t="shared" si="2" ref="I27:I43">H27</f>
        <v>103859.59000000001</v>
      </c>
      <c r="J27" s="164"/>
    </row>
    <row r="28" spans="1:10" s="272" customFormat="1" ht="12.75" customHeight="1">
      <c r="A28" s="164" t="s">
        <v>2792</v>
      </c>
      <c r="B28" s="213"/>
      <c r="C28" s="212" t="s">
        <v>2548</v>
      </c>
      <c r="D28" s="214"/>
      <c r="E28" s="116">
        <v>0</v>
      </c>
      <c r="F28" s="116"/>
      <c r="G28" s="116">
        <v>24228.31</v>
      </c>
      <c r="H28" s="116">
        <f t="shared" si="1"/>
        <v>24228.31</v>
      </c>
      <c r="I28" s="116">
        <f t="shared" si="2"/>
        <v>24228.31</v>
      </c>
      <c r="J28" s="164"/>
    </row>
    <row r="29" spans="1:10" s="272" customFormat="1" ht="12.75" customHeight="1">
      <c r="A29" s="164" t="s">
        <v>2792</v>
      </c>
      <c r="B29" s="213"/>
      <c r="C29" s="212" t="s">
        <v>2549</v>
      </c>
      <c r="D29" s="214"/>
      <c r="E29" s="116">
        <v>0</v>
      </c>
      <c r="F29" s="116">
        <v>1279059.66</v>
      </c>
      <c r="G29" s="116">
        <v>8137870.73</v>
      </c>
      <c r="H29" s="116">
        <f t="shared" si="1"/>
        <v>9416930.39</v>
      </c>
      <c r="I29" s="116">
        <f t="shared" si="2"/>
        <v>9416930.39</v>
      </c>
      <c r="J29" s="164"/>
    </row>
    <row r="30" spans="1:10" s="272" customFormat="1" ht="12.75" customHeight="1">
      <c r="A30" s="164" t="s">
        <v>2792</v>
      </c>
      <c r="B30" s="213"/>
      <c r="C30" s="212" t="s">
        <v>2550</v>
      </c>
      <c r="D30" s="214"/>
      <c r="E30" s="116">
        <v>0</v>
      </c>
      <c r="F30" s="116">
        <v>-5985</v>
      </c>
      <c r="G30" s="116">
        <v>3678105.17</v>
      </c>
      <c r="H30" s="116">
        <f t="shared" si="1"/>
        <v>3672120.17</v>
      </c>
      <c r="I30" s="116">
        <f t="shared" si="2"/>
        <v>3672120.17</v>
      </c>
      <c r="J30" s="164"/>
    </row>
    <row r="31" spans="1:10" s="272" customFormat="1" ht="12.75" customHeight="1">
      <c r="A31" s="164" t="s">
        <v>2792</v>
      </c>
      <c r="B31" s="213"/>
      <c r="C31" s="212" t="s">
        <v>2551</v>
      </c>
      <c r="D31" s="214"/>
      <c r="E31" s="116">
        <v>0</v>
      </c>
      <c r="F31" s="116">
        <v>-11813.16</v>
      </c>
      <c r="G31" s="116">
        <v>3765561.54</v>
      </c>
      <c r="H31" s="116">
        <f t="shared" si="1"/>
        <v>3753748.38</v>
      </c>
      <c r="I31" s="116">
        <f t="shared" si="2"/>
        <v>3753748.38</v>
      </c>
      <c r="J31" s="164"/>
    </row>
    <row r="32" spans="1:10" s="272" customFormat="1" ht="12.75" customHeight="1">
      <c r="A32" s="164" t="s">
        <v>2792</v>
      </c>
      <c r="B32" s="213"/>
      <c r="C32" s="212" t="s">
        <v>2552</v>
      </c>
      <c r="D32" s="214"/>
      <c r="E32" s="116">
        <v>0</v>
      </c>
      <c r="F32" s="116">
        <v>0</v>
      </c>
      <c r="G32" s="116">
        <v>1136609.74</v>
      </c>
      <c r="H32" s="116">
        <f t="shared" si="1"/>
        <v>1136609.74</v>
      </c>
      <c r="I32" s="116">
        <f t="shared" si="2"/>
        <v>1136609.74</v>
      </c>
      <c r="J32" s="164"/>
    </row>
    <row r="33" spans="1:10" s="272" customFormat="1" ht="12.75" customHeight="1">
      <c r="A33" s="164" t="s">
        <v>2792</v>
      </c>
      <c r="B33" s="213"/>
      <c r="C33" s="212" t="s">
        <v>2553</v>
      </c>
      <c r="D33" s="214"/>
      <c r="E33" s="116">
        <v>0</v>
      </c>
      <c r="F33" s="116">
        <v>-109550</v>
      </c>
      <c r="G33" s="116">
        <v>292719.72</v>
      </c>
      <c r="H33" s="116">
        <f t="shared" si="1"/>
        <v>183169.71999999997</v>
      </c>
      <c r="I33" s="116">
        <f t="shared" si="2"/>
        <v>183169.71999999997</v>
      </c>
      <c r="J33" s="164"/>
    </row>
    <row r="34" spans="1:10" s="272" customFormat="1" ht="12.75" customHeight="1">
      <c r="A34" s="164" t="s">
        <v>2792</v>
      </c>
      <c r="B34" s="213"/>
      <c r="C34" s="212" t="s">
        <v>2554</v>
      </c>
      <c r="D34" s="214"/>
      <c r="E34" s="116">
        <v>0</v>
      </c>
      <c r="F34" s="116"/>
      <c r="G34" s="116">
        <v>0</v>
      </c>
      <c r="H34" s="116">
        <f t="shared" si="1"/>
        <v>0</v>
      </c>
      <c r="I34" s="116">
        <f t="shared" si="2"/>
        <v>0</v>
      </c>
      <c r="J34" s="164"/>
    </row>
    <row r="35" spans="1:10" s="272" customFormat="1" ht="12.75" customHeight="1">
      <c r="A35" s="164" t="s">
        <v>2792</v>
      </c>
      <c r="B35" s="213"/>
      <c r="C35" s="212" t="s">
        <v>2555</v>
      </c>
      <c r="D35" s="214"/>
      <c r="E35" s="116">
        <v>0</v>
      </c>
      <c r="F35" s="116"/>
      <c r="G35" s="116">
        <v>41111.11</v>
      </c>
      <c r="H35" s="116">
        <f t="shared" si="1"/>
        <v>41111.11</v>
      </c>
      <c r="I35" s="116">
        <f t="shared" si="2"/>
        <v>41111.11</v>
      </c>
      <c r="J35" s="164"/>
    </row>
    <row r="36" spans="1:10" s="272" customFormat="1" ht="12.75" customHeight="1">
      <c r="A36" s="164" t="s">
        <v>2792</v>
      </c>
      <c r="B36" s="213"/>
      <c r="C36" s="212" t="s">
        <v>2556</v>
      </c>
      <c r="D36" s="214"/>
      <c r="E36" s="116">
        <v>0</v>
      </c>
      <c r="F36" s="116">
        <v>-7028</v>
      </c>
      <c r="G36" s="116">
        <v>1088166.95</v>
      </c>
      <c r="H36" s="116">
        <f t="shared" si="1"/>
        <v>1081138.95</v>
      </c>
      <c r="I36" s="116">
        <f t="shared" si="2"/>
        <v>1081138.95</v>
      </c>
      <c r="J36" s="164"/>
    </row>
    <row r="37" spans="1:10" s="272" customFormat="1" ht="12.75" customHeight="1">
      <c r="A37" s="164" t="s">
        <v>2792</v>
      </c>
      <c r="B37" s="213"/>
      <c r="C37" s="212" t="s">
        <v>2557</v>
      </c>
      <c r="D37" s="214"/>
      <c r="E37" s="116">
        <v>0</v>
      </c>
      <c r="F37" s="116"/>
      <c r="G37" s="116">
        <v>0</v>
      </c>
      <c r="H37" s="116">
        <f t="shared" si="1"/>
        <v>0</v>
      </c>
      <c r="I37" s="116">
        <f t="shared" si="2"/>
        <v>0</v>
      </c>
      <c r="J37" s="164"/>
    </row>
    <row r="38" spans="1:10" s="272" customFormat="1" ht="12.75" customHeight="1">
      <c r="A38" s="164" t="s">
        <v>2792</v>
      </c>
      <c r="B38" s="213"/>
      <c r="C38" s="212" t="s">
        <v>2558</v>
      </c>
      <c r="D38" s="214"/>
      <c r="E38" s="116">
        <v>0</v>
      </c>
      <c r="F38" s="116">
        <v>114312.64</v>
      </c>
      <c r="G38" s="116">
        <v>2072006.83</v>
      </c>
      <c r="H38" s="116">
        <f t="shared" si="1"/>
        <v>2186319.47</v>
      </c>
      <c r="I38" s="116">
        <f t="shared" si="2"/>
        <v>2186319.47</v>
      </c>
      <c r="J38" s="164"/>
    </row>
    <row r="39" spans="1:10" s="272" customFormat="1" ht="12.75" customHeight="1">
      <c r="A39" s="164" t="s">
        <v>2792</v>
      </c>
      <c r="B39" s="213"/>
      <c r="C39" s="212" t="s">
        <v>2559</v>
      </c>
      <c r="D39" s="214"/>
      <c r="E39" s="116">
        <v>0</v>
      </c>
      <c r="F39" s="116">
        <v>0</v>
      </c>
      <c r="G39" s="116">
        <v>4391</v>
      </c>
      <c r="H39" s="116">
        <f t="shared" si="1"/>
        <v>4391</v>
      </c>
      <c r="I39" s="116">
        <f t="shared" si="2"/>
        <v>4391</v>
      </c>
      <c r="J39" s="164"/>
    </row>
    <row r="40" spans="1:10" s="272" customFormat="1" ht="12.75" customHeight="1">
      <c r="A40" s="164" t="s">
        <v>2792</v>
      </c>
      <c r="B40" s="213"/>
      <c r="C40" s="212" t="s">
        <v>2560</v>
      </c>
      <c r="D40" s="214"/>
      <c r="E40" s="116">
        <v>0</v>
      </c>
      <c r="F40" s="116">
        <v>0</v>
      </c>
      <c r="G40" s="116">
        <v>4426872.97</v>
      </c>
      <c r="H40" s="116">
        <f t="shared" si="1"/>
        <v>4426872.97</v>
      </c>
      <c r="I40" s="116">
        <f t="shared" si="2"/>
        <v>4426872.97</v>
      </c>
      <c r="J40" s="164"/>
    </row>
    <row r="41" spans="1:10" s="272" customFormat="1" ht="12.75" customHeight="1">
      <c r="A41" s="164" t="s">
        <v>2792</v>
      </c>
      <c r="B41" s="213"/>
      <c r="C41" s="212" t="s">
        <v>2561</v>
      </c>
      <c r="D41" s="214"/>
      <c r="E41" s="116">
        <v>0</v>
      </c>
      <c r="F41" s="116">
        <v>0</v>
      </c>
      <c r="G41" s="116">
        <v>203680.57</v>
      </c>
      <c r="H41" s="116">
        <v>210536</v>
      </c>
      <c r="I41" s="116">
        <f t="shared" si="2"/>
        <v>210536</v>
      </c>
      <c r="J41" s="164"/>
    </row>
    <row r="42" spans="1:10" s="272" customFormat="1" ht="12.75" customHeight="1">
      <c r="A42" s="164" t="s">
        <v>2792</v>
      </c>
      <c r="B42" s="213"/>
      <c r="C42" s="212" t="s">
        <v>2562</v>
      </c>
      <c r="D42" s="214"/>
      <c r="E42" s="116">
        <v>0</v>
      </c>
      <c r="F42" s="116">
        <v>0</v>
      </c>
      <c r="G42" s="116">
        <v>57180.4</v>
      </c>
      <c r="H42" s="116">
        <f>F42+G42</f>
        <v>57180.4</v>
      </c>
      <c r="I42" s="116">
        <f t="shared" si="2"/>
        <v>57180.4</v>
      </c>
      <c r="J42" s="164"/>
    </row>
    <row r="43" spans="1:10" s="272" customFormat="1" ht="12.75" customHeight="1">
      <c r="A43" s="163"/>
      <c r="B43" s="217"/>
      <c r="C43" s="218" t="s">
        <v>2563</v>
      </c>
      <c r="D43" s="74"/>
      <c r="E43" s="117">
        <f>E27+E28+E29+E30+E31+E32+E33+E34+E35+E36+E37+E38+E39+E40+E41+E42</f>
        <v>0</v>
      </c>
      <c r="F43" s="117">
        <f>F27+F28+F29+F30+F31+F32+F33+F34+F35+F36+F37+F38+F39+F40+F41+F42</f>
        <v>1256070.8499999999</v>
      </c>
      <c r="G43" s="117">
        <f>G27+G28+G29+G30+G31+G32+G33+G34+G35+G36+G37+G38+G39+G40+G41+G42</f>
        <v>25035289.919999994</v>
      </c>
      <c r="H43" s="117">
        <f>H27+H28+H29+H30+H31+H32+H33+H34+H35+H36+H37+H38+H39+H40+H41+H42-1</f>
        <v>26298215.19999999</v>
      </c>
      <c r="I43" s="117">
        <f t="shared" si="2"/>
        <v>26298215.19999999</v>
      </c>
      <c r="J43" s="163"/>
    </row>
    <row r="44" spans="1:10" s="272" customFormat="1" ht="12.75" customHeight="1">
      <c r="A44" s="163"/>
      <c r="B44" s="217"/>
      <c r="C44" s="218"/>
      <c r="D44" s="74"/>
      <c r="E44" s="117"/>
      <c r="F44" s="117"/>
      <c r="G44" s="117"/>
      <c r="H44" s="117"/>
      <c r="I44" s="117"/>
      <c r="J44" s="163"/>
    </row>
    <row r="45" spans="1:9" ht="76.5" hidden="1" outlineLevel="1">
      <c r="A45" s="246" t="s">
        <v>2564</v>
      </c>
      <c r="C45" s="175" t="s">
        <v>2565</v>
      </c>
      <c r="H45" s="174">
        <v>2833678.58</v>
      </c>
      <c r="I45" s="174">
        <f aca="true" t="shared" si="3" ref="I45:I55">E45+H45</f>
        <v>2833678.58</v>
      </c>
    </row>
    <row r="46" spans="1:9" ht="76.5" hidden="1" outlineLevel="1">
      <c r="A46" s="246" t="s">
        <v>2566</v>
      </c>
      <c r="C46" s="175" t="s">
        <v>2567</v>
      </c>
      <c r="H46" s="174">
        <v>2000</v>
      </c>
      <c r="I46" s="174">
        <f t="shared" si="3"/>
        <v>2000</v>
      </c>
    </row>
    <row r="47" spans="1:10" s="272" customFormat="1" ht="12.75" customHeight="1" collapsed="1">
      <c r="A47" s="164" t="s">
        <v>2568</v>
      </c>
      <c r="B47" s="213"/>
      <c r="C47" s="212" t="s">
        <v>2831</v>
      </c>
      <c r="D47" s="214"/>
      <c r="E47" s="116">
        <v>0</v>
      </c>
      <c r="F47" s="116"/>
      <c r="G47" s="116"/>
      <c r="H47" s="116">
        <v>2835678.58</v>
      </c>
      <c r="I47" s="116">
        <f t="shared" si="3"/>
        <v>2835678.58</v>
      </c>
      <c r="J47" s="164"/>
    </row>
    <row r="48" spans="1:9" ht="76.5" hidden="1" outlineLevel="1">
      <c r="A48" s="246" t="s">
        <v>2569</v>
      </c>
      <c r="C48" s="175" t="s">
        <v>2570</v>
      </c>
      <c r="H48" s="174">
        <v>5309110.12</v>
      </c>
      <c r="I48" s="174">
        <f t="shared" si="3"/>
        <v>5309110.12</v>
      </c>
    </row>
    <row r="49" spans="1:9" ht="76.5" hidden="1" outlineLevel="1">
      <c r="A49" s="246" t="s">
        <v>2571</v>
      </c>
      <c r="C49" s="175" t="s">
        <v>2572</v>
      </c>
      <c r="H49" s="174">
        <v>553870</v>
      </c>
      <c r="I49" s="174">
        <f t="shared" si="3"/>
        <v>553870</v>
      </c>
    </row>
    <row r="50" spans="1:9" ht="76.5" hidden="1" outlineLevel="1">
      <c r="A50" s="246" t="s">
        <v>2573</v>
      </c>
      <c r="C50" s="175" t="s">
        <v>2574</v>
      </c>
      <c r="H50" s="174">
        <v>102199.63</v>
      </c>
      <c r="I50" s="174">
        <f t="shared" si="3"/>
        <v>102199.63</v>
      </c>
    </row>
    <row r="51" spans="1:9" ht="76.5" hidden="1" outlineLevel="1">
      <c r="A51" s="246" t="s">
        <v>2575</v>
      </c>
      <c r="C51" s="175" t="s">
        <v>2576</v>
      </c>
      <c r="H51" s="174">
        <v>1574369.63</v>
      </c>
      <c r="I51" s="174">
        <f t="shared" si="3"/>
        <v>1574369.63</v>
      </c>
    </row>
    <row r="52" spans="1:10" s="272" customFormat="1" ht="12.75" customHeight="1" collapsed="1">
      <c r="A52" s="164" t="s">
        <v>2577</v>
      </c>
      <c r="B52" s="213"/>
      <c r="C52" s="212" t="s">
        <v>2832</v>
      </c>
      <c r="D52" s="214"/>
      <c r="E52" s="116">
        <v>0</v>
      </c>
      <c r="F52" s="116"/>
      <c r="G52" s="116"/>
      <c r="H52" s="116">
        <v>7539549.38</v>
      </c>
      <c r="I52" s="116">
        <f t="shared" si="3"/>
        <v>7539549.38</v>
      </c>
      <c r="J52" s="164"/>
    </row>
    <row r="53" spans="1:9" ht="76.5" hidden="1" outlineLevel="1">
      <c r="A53" s="246" t="s">
        <v>3273</v>
      </c>
      <c r="C53" s="175" t="s">
        <v>3274</v>
      </c>
      <c r="H53" s="174">
        <v>111.52</v>
      </c>
      <c r="I53" s="174">
        <f t="shared" si="3"/>
        <v>111.52</v>
      </c>
    </row>
    <row r="54" spans="1:9" ht="76.5" hidden="1" outlineLevel="1">
      <c r="A54" s="246" t="s">
        <v>3276</v>
      </c>
      <c r="C54" s="175" t="s">
        <v>3277</v>
      </c>
      <c r="H54" s="174">
        <v>5200</v>
      </c>
      <c r="I54" s="174">
        <f t="shared" si="3"/>
        <v>5200</v>
      </c>
    </row>
    <row r="55" spans="1:10" s="272" customFormat="1" ht="12.75" customHeight="1" collapsed="1">
      <c r="A55" s="164" t="s">
        <v>2578</v>
      </c>
      <c r="B55" s="213"/>
      <c r="C55" s="212" t="s">
        <v>3289</v>
      </c>
      <c r="D55" s="214"/>
      <c r="E55" s="116">
        <v>355700.89</v>
      </c>
      <c r="F55" s="116"/>
      <c r="G55" s="116"/>
      <c r="H55" s="116">
        <v>5311.52</v>
      </c>
      <c r="I55" s="116">
        <f t="shared" si="3"/>
        <v>361012.41000000003</v>
      </c>
      <c r="J55" s="164"/>
    </row>
    <row r="56" spans="1:10" s="272" customFormat="1" ht="12.75" customHeight="1">
      <c r="A56" s="164"/>
      <c r="B56" s="213"/>
      <c r="C56" s="212" t="s">
        <v>2579</v>
      </c>
      <c r="D56" s="214"/>
      <c r="E56" s="116"/>
      <c r="F56" s="116"/>
      <c r="G56" s="116"/>
      <c r="H56" s="116"/>
      <c r="I56" s="116"/>
      <c r="J56" s="164"/>
    </row>
    <row r="57" spans="1:10" s="272" customFormat="1" ht="12.75" customHeight="1">
      <c r="A57" s="164" t="s">
        <v>2792</v>
      </c>
      <c r="B57" s="213"/>
      <c r="C57" s="212" t="s">
        <v>2580</v>
      </c>
      <c r="D57" s="214"/>
      <c r="E57" s="116">
        <v>0</v>
      </c>
      <c r="F57" s="116"/>
      <c r="G57" s="116"/>
      <c r="H57" s="116">
        <v>0</v>
      </c>
      <c r="I57" s="116">
        <f aca="true" t="shared" si="4" ref="I57:I62">E57+H57</f>
        <v>0</v>
      </c>
      <c r="J57" s="164"/>
    </row>
    <row r="58" spans="1:10" s="272" customFormat="1" ht="12.75" customHeight="1">
      <c r="A58" s="164" t="s">
        <v>2792</v>
      </c>
      <c r="B58" s="213"/>
      <c r="C58" s="212" t="s">
        <v>2912</v>
      </c>
      <c r="D58" s="214"/>
      <c r="E58" s="116">
        <v>7691945.88</v>
      </c>
      <c r="F58" s="116"/>
      <c r="G58" s="116"/>
      <c r="H58" s="116">
        <v>0</v>
      </c>
      <c r="I58" s="116">
        <f t="shared" si="4"/>
        <v>7691945.88</v>
      </c>
      <c r="J58" s="164"/>
    </row>
    <row r="59" spans="1:10" s="272" customFormat="1" ht="12.75" customHeight="1">
      <c r="A59" s="164" t="s">
        <v>2792</v>
      </c>
      <c r="B59" s="213"/>
      <c r="C59" s="212" t="s">
        <v>2913</v>
      </c>
      <c r="D59" s="214"/>
      <c r="E59" s="116">
        <v>0</v>
      </c>
      <c r="F59" s="116"/>
      <c r="G59" s="116"/>
      <c r="H59" s="116">
        <v>0</v>
      </c>
      <c r="I59" s="116">
        <f t="shared" si="4"/>
        <v>0</v>
      </c>
      <c r="J59" s="164"/>
    </row>
    <row r="60" spans="1:10" s="272" customFormat="1" ht="12.75" customHeight="1">
      <c r="A60" s="164" t="s">
        <v>2792</v>
      </c>
      <c r="B60" s="213"/>
      <c r="C60" s="212" t="s">
        <v>2581</v>
      </c>
      <c r="D60" s="214"/>
      <c r="E60" s="116">
        <v>2757158.14</v>
      </c>
      <c r="F60" s="116"/>
      <c r="G60" s="116"/>
      <c r="H60" s="116">
        <v>0</v>
      </c>
      <c r="I60" s="116">
        <f t="shared" si="4"/>
        <v>2757158.14</v>
      </c>
      <c r="J60" s="164"/>
    </row>
    <row r="61" spans="1:10" s="272" customFormat="1" ht="12.75" customHeight="1">
      <c r="A61" s="164" t="s">
        <v>2582</v>
      </c>
      <c r="B61" s="213"/>
      <c r="C61" s="212" t="s">
        <v>2583</v>
      </c>
      <c r="D61" s="214"/>
      <c r="E61" s="116">
        <v>0</v>
      </c>
      <c r="F61" s="116"/>
      <c r="G61" s="116"/>
      <c r="H61" s="116">
        <v>0</v>
      </c>
      <c r="I61" s="116">
        <f t="shared" si="4"/>
        <v>0</v>
      </c>
      <c r="J61" s="164"/>
    </row>
    <row r="62" spans="1:10" s="272" customFormat="1" ht="12.75" customHeight="1">
      <c r="A62" s="164" t="s">
        <v>2584</v>
      </c>
      <c r="B62" s="213"/>
      <c r="C62" s="212" t="s">
        <v>2835</v>
      </c>
      <c r="D62" s="214"/>
      <c r="E62" s="116">
        <v>0</v>
      </c>
      <c r="F62" s="116"/>
      <c r="G62" s="116"/>
      <c r="H62" s="116">
        <v>0</v>
      </c>
      <c r="I62" s="116">
        <f t="shared" si="4"/>
        <v>0</v>
      </c>
      <c r="J62" s="164"/>
    </row>
    <row r="63" spans="1:10" s="272" customFormat="1" ht="12.75" customHeight="1">
      <c r="A63" s="164" t="s">
        <v>2792</v>
      </c>
      <c r="B63" s="213"/>
      <c r="C63" s="212" t="s">
        <v>2585</v>
      </c>
      <c r="D63" s="214"/>
      <c r="E63" s="116" t="s">
        <v>2792</v>
      </c>
      <c r="F63" s="116"/>
      <c r="G63" s="116"/>
      <c r="H63" s="116"/>
      <c r="I63" s="116"/>
      <c r="J63" s="164"/>
    </row>
    <row r="64" spans="1:10" s="272" customFormat="1" ht="12.75" customHeight="1">
      <c r="A64" s="1" t="s">
        <v>2586</v>
      </c>
      <c r="B64" s="213"/>
      <c r="C64" s="212" t="s">
        <v>2587</v>
      </c>
      <c r="D64" s="214"/>
      <c r="E64" s="116">
        <v>5651383.39</v>
      </c>
      <c r="F64" s="116"/>
      <c r="G64" s="116"/>
      <c r="H64" s="116">
        <v>-5599555.300000001</v>
      </c>
      <c r="I64" s="116">
        <f>E64+H64</f>
        <v>51828.08999999892</v>
      </c>
      <c r="J64" s="1"/>
    </row>
    <row r="65" spans="1:10" s="272" customFormat="1" ht="12.75" customHeight="1">
      <c r="A65" s="1" t="s">
        <v>2792</v>
      </c>
      <c r="B65" s="213"/>
      <c r="C65" s="212" t="s">
        <v>2588</v>
      </c>
      <c r="D65" s="214"/>
      <c r="E65" s="116">
        <f>E71-E64</f>
        <v>2006265.0300000003</v>
      </c>
      <c r="F65" s="116"/>
      <c r="G65" s="116"/>
      <c r="H65" s="116">
        <f>H71-H64</f>
        <v>140960.27000000048</v>
      </c>
      <c r="I65" s="116">
        <f>E65+H65</f>
        <v>2147225.3000000007</v>
      </c>
      <c r="J65" s="1"/>
    </row>
    <row r="66" spans="1:10" s="272" customFormat="1" ht="12.75" customHeight="1">
      <c r="A66" s="29"/>
      <c r="B66" s="217"/>
      <c r="C66" s="218"/>
      <c r="D66" s="74"/>
      <c r="E66" s="117"/>
      <c r="F66" s="117"/>
      <c r="G66" s="117"/>
      <c r="H66" s="117"/>
      <c r="I66" s="117"/>
      <c r="J66" s="29"/>
    </row>
    <row r="67" spans="1:10" s="272" customFormat="1" ht="12.75" customHeight="1">
      <c r="A67" s="29"/>
      <c r="B67" s="217"/>
      <c r="C67" s="211" t="s">
        <v>2589</v>
      </c>
      <c r="D67" s="65"/>
      <c r="E67" s="227">
        <f>+E23+E43+E47+E52+E55+E57+E58+E59+E60+E61+E62+E64+E65</f>
        <v>59798179.18</v>
      </c>
      <c r="F67" s="227"/>
      <c r="G67" s="227"/>
      <c r="H67" s="227">
        <f>+H23+H43+H47+H52+H55+H57+H58+H59+H60+H61+H62+H64+H65</f>
        <v>24555228.83999999</v>
      </c>
      <c r="I67" s="227">
        <f>+I23+I43+I47+I52+I55+I57+I58+I59+I60+I61+I62+I64+I65</f>
        <v>84353408.01999997</v>
      </c>
      <c r="J67" s="2"/>
    </row>
    <row r="68" spans="1:10" s="272" customFormat="1" ht="12.75">
      <c r="A68" s="2"/>
      <c r="B68" s="175"/>
      <c r="C68" s="175"/>
      <c r="D68" s="175"/>
      <c r="E68" s="175"/>
      <c r="F68" s="175"/>
      <c r="G68" s="175"/>
      <c r="H68" s="175"/>
      <c r="I68" s="175"/>
      <c r="J68" s="2"/>
    </row>
    <row r="69" spans="1:10" s="272" customFormat="1" ht="12.75">
      <c r="A69" s="2"/>
      <c r="B69" s="175"/>
      <c r="C69" s="175"/>
      <c r="D69" s="175"/>
      <c r="E69" s="174"/>
      <c r="F69" s="174"/>
      <c r="G69" s="174"/>
      <c r="H69" s="174"/>
      <c r="I69" s="174"/>
      <c r="J69" s="2"/>
    </row>
    <row r="70" spans="1:10" s="272" customFormat="1" ht="12.75" hidden="1">
      <c r="A70" s="2"/>
      <c r="B70" s="175"/>
      <c r="C70" s="175" t="s">
        <v>2590</v>
      </c>
      <c r="D70" s="175"/>
      <c r="E70" s="174"/>
      <c r="F70" s="174"/>
      <c r="G70" s="174"/>
      <c r="H70" s="174"/>
      <c r="I70" s="174"/>
      <c r="J70" s="2"/>
    </row>
    <row r="71" spans="1:10" s="272" customFormat="1" ht="12.75" hidden="1">
      <c r="A71" s="2" t="s">
        <v>2591</v>
      </c>
      <c r="B71" s="175"/>
      <c r="C71" s="175" t="s">
        <v>2592</v>
      </c>
      <c r="D71" s="175"/>
      <c r="E71" s="174">
        <v>7657648.42</v>
      </c>
      <c r="F71" s="174"/>
      <c r="G71" s="174"/>
      <c r="H71" s="174">
        <v>-5458595.03</v>
      </c>
      <c r="I71" s="174"/>
      <c r="J71" s="2"/>
    </row>
    <row r="72" spans="5:7" ht="12.75">
      <c r="E72" s="174"/>
      <c r="F72" s="174"/>
      <c r="G72" s="174"/>
    </row>
    <row r="73" spans="5:7" ht="12.75">
      <c r="E73" s="174"/>
      <c r="F73" s="174"/>
      <c r="G73" s="174"/>
    </row>
    <row r="74" spans="5:7" ht="12.75">
      <c r="E74" s="174"/>
      <c r="F74" s="174"/>
      <c r="G74" s="174"/>
    </row>
    <row r="75" spans="5:7" ht="12.75">
      <c r="E75" s="174"/>
      <c r="F75" s="174"/>
      <c r="G75" s="174"/>
    </row>
    <row r="76" spans="5:7" ht="12.75">
      <c r="E76" s="174"/>
      <c r="F76" s="174"/>
      <c r="G76" s="174"/>
    </row>
    <row r="77" spans="5:7" ht="12.75">
      <c r="E77" s="174"/>
      <c r="F77" s="174"/>
      <c r="G77" s="174"/>
    </row>
    <row r="78" spans="5:7" ht="12.75">
      <c r="E78" s="174"/>
      <c r="F78" s="174"/>
      <c r="G78" s="174"/>
    </row>
    <row r="79" spans="5:7" ht="12.75">
      <c r="E79" s="174"/>
      <c r="F79" s="174"/>
      <c r="G79" s="174"/>
    </row>
    <row r="80" spans="5:7" ht="12.75">
      <c r="E80" s="174"/>
      <c r="F80" s="174"/>
      <c r="G80" s="174"/>
    </row>
    <row r="81" spans="5:7" ht="12.75">
      <c r="E81" s="174"/>
      <c r="F81" s="174"/>
      <c r="G81" s="174"/>
    </row>
    <row r="82" spans="5:7" ht="12.75">
      <c r="E82" s="174"/>
      <c r="F82" s="174"/>
      <c r="G82" s="174"/>
    </row>
    <row r="83" spans="5:7" ht="12.75">
      <c r="E83" s="174"/>
      <c r="F83" s="174"/>
      <c r="G83" s="174"/>
    </row>
    <row r="84" spans="5:7" ht="12.75">
      <c r="E84" s="174"/>
      <c r="F84" s="174"/>
      <c r="G84" s="174"/>
    </row>
    <row r="85" spans="5:7" ht="12.75">
      <c r="E85" s="174"/>
      <c r="F85" s="174"/>
      <c r="G85" s="174"/>
    </row>
    <row r="86" spans="5:7" ht="12.75">
      <c r="E86" s="174"/>
      <c r="F86" s="174"/>
      <c r="G86" s="174"/>
    </row>
    <row r="87" spans="5:7" ht="12.75">
      <c r="E87" s="174"/>
      <c r="F87" s="174"/>
      <c r="G87" s="174"/>
    </row>
    <row r="88" spans="5:7" ht="12.75">
      <c r="E88" s="174"/>
      <c r="F88" s="174"/>
      <c r="G88" s="174"/>
    </row>
    <row r="89" spans="5:7" ht="12.75">
      <c r="E89" s="174"/>
      <c r="F89" s="174"/>
      <c r="G89" s="174"/>
    </row>
    <row r="90" spans="5:7" ht="12.75">
      <c r="E90" s="174"/>
      <c r="F90" s="174"/>
      <c r="G90" s="174"/>
    </row>
    <row r="91" spans="5:7" ht="12.75">
      <c r="E91" s="174"/>
      <c r="F91" s="174"/>
      <c r="G91" s="174"/>
    </row>
    <row r="92" spans="5:7" ht="12.75">
      <c r="E92" s="174"/>
      <c r="F92" s="174"/>
      <c r="G92" s="174"/>
    </row>
    <row r="93" spans="5:7" ht="12.75">
      <c r="E93" s="174"/>
      <c r="F93" s="174"/>
      <c r="G93" s="174"/>
    </row>
    <row r="94" spans="5:7" ht="12.75">
      <c r="E94" s="174"/>
      <c r="F94" s="174"/>
      <c r="G94" s="174"/>
    </row>
    <row r="95" spans="5:7" ht="12.75">
      <c r="E95" s="174"/>
      <c r="F95" s="174"/>
      <c r="G95" s="174"/>
    </row>
    <row r="96" spans="5:7" ht="12.75">
      <c r="E96" s="174"/>
      <c r="F96" s="174"/>
      <c r="G96" s="174"/>
    </row>
    <row r="97" spans="5:7" ht="12.75">
      <c r="E97" s="174"/>
      <c r="F97" s="174"/>
      <c r="G97" s="174"/>
    </row>
    <row r="98" spans="5:7" ht="12.75">
      <c r="E98" s="174"/>
      <c r="F98" s="174"/>
      <c r="G98" s="174"/>
    </row>
    <row r="99" spans="5:7" ht="12.75">
      <c r="E99" s="174"/>
      <c r="F99" s="174"/>
      <c r="G99" s="174"/>
    </row>
    <row r="100" spans="5:7" ht="12.75">
      <c r="E100" s="174"/>
      <c r="F100" s="174"/>
      <c r="G100" s="174"/>
    </row>
    <row r="101" spans="5:7" ht="12.75">
      <c r="E101" s="174"/>
      <c r="F101" s="174"/>
      <c r="G101" s="174"/>
    </row>
    <row r="102" spans="5:7" ht="12.75">
      <c r="E102" s="174"/>
      <c r="F102" s="174"/>
      <c r="G102" s="174"/>
    </row>
    <row r="103" spans="5:7" ht="12.75">
      <c r="E103" s="174"/>
      <c r="F103" s="174"/>
      <c r="G103" s="174"/>
    </row>
    <row r="104" spans="5:7" ht="12.75">
      <c r="E104" s="174"/>
      <c r="F104" s="174"/>
      <c r="G104" s="174"/>
    </row>
    <row r="105" spans="5:7" ht="12.75">
      <c r="E105" s="174"/>
      <c r="F105" s="174"/>
      <c r="G105" s="174"/>
    </row>
    <row r="106" spans="5:7" ht="12.75">
      <c r="E106" s="174"/>
      <c r="F106" s="174"/>
      <c r="G106" s="174"/>
    </row>
    <row r="107" spans="5:7" ht="12.75">
      <c r="E107" s="174"/>
      <c r="F107" s="174"/>
      <c r="G107" s="174"/>
    </row>
    <row r="108" spans="5:7" ht="12.75">
      <c r="E108" s="174"/>
      <c r="F108" s="174"/>
      <c r="G108" s="174"/>
    </row>
    <row r="109" spans="5:7" ht="12.75">
      <c r="E109" s="174"/>
      <c r="F109" s="174"/>
      <c r="G109" s="174"/>
    </row>
    <row r="110" spans="5:7" ht="12.75">
      <c r="E110" s="174"/>
      <c r="F110" s="174"/>
      <c r="G110" s="174"/>
    </row>
    <row r="111" spans="5:7" ht="12.75">
      <c r="E111" s="174"/>
      <c r="F111" s="174"/>
      <c r="G111" s="174"/>
    </row>
    <row r="112" spans="5:7" ht="12.75">
      <c r="E112" s="174"/>
      <c r="F112" s="174"/>
      <c r="G112" s="174"/>
    </row>
    <row r="113" spans="5:7" ht="12.75">
      <c r="E113" s="174"/>
      <c r="F113" s="174"/>
      <c r="G113" s="174"/>
    </row>
    <row r="114" spans="5:7" ht="12.75">
      <c r="E114" s="174"/>
      <c r="F114" s="174"/>
      <c r="G114" s="174"/>
    </row>
    <row r="115" spans="5:7" ht="12.75">
      <c r="E115" s="174"/>
      <c r="F115" s="174"/>
      <c r="G115" s="174"/>
    </row>
    <row r="116" spans="5:7" ht="12.75">
      <c r="E116" s="174"/>
      <c r="F116" s="174"/>
      <c r="G116" s="174"/>
    </row>
    <row r="117" spans="5:7" ht="12.75">
      <c r="E117" s="174"/>
      <c r="F117" s="174"/>
      <c r="G117" s="174"/>
    </row>
    <row r="118" spans="5:7" ht="12.75">
      <c r="E118" s="174"/>
      <c r="F118" s="174"/>
      <c r="G118" s="174"/>
    </row>
    <row r="119" spans="5:7" ht="12.75">
      <c r="E119" s="174"/>
      <c r="F119" s="174"/>
      <c r="G119" s="174"/>
    </row>
    <row r="120" spans="5:7" ht="12.75">
      <c r="E120" s="174"/>
      <c r="F120" s="174"/>
      <c r="G120" s="174"/>
    </row>
    <row r="121" spans="5:7" ht="12.75">
      <c r="E121" s="174"/>
      <c r="F121" s="174"/>
      <c r="G121" s="174"/>
    </row>
    <row r="122" spans="5:7" ht="12.75">
      <c r="E122" s="174"/>
      <c r="F122" s="174"/>
      <c r="G122" s="174"/>
    </row>
    <row r="123" spans="5:7" ht="12.75">
      <c r="E123" s="174"/>
      <c r="F123" s="174"/>
      <c r="G123" s="174"/>
    </row>
    <row r="124" spans="5:7" ht="12.75">
      <c r="E124" s="174"/>
      <c r="F124" s="174"/>
      <c r="G124" s="174"/>
    </row>
    <row r="125" spans="5:7" ht="12.75">
      <c r="E125" s="174"/>
      <c r="F125" s="174"/>
      <c r="G125" s="174"/>
    </row>
    <row r="126" spans="5:7" ht="12.75">
      <c r="E126" s="174"/>
      <c r="F126" s="174"/>
      <c r="G126" s="174"/>
    </row>
    <row r="127" spans="5:7" ht="12.75">
      <c r="E127" s="174"/>
      <c r="F127" s="174"/>
      <c r="G127" s="174"/>
    </row>
    <row r="128" spans="5:7" ht="12.75">
      <c r="E128" s="174"/>
      <c r="F128" s="174"/>
      <c r="G128" s="174"/>
    </row>
    <row r="129" spans="5:7" ht="12.75">
      <c r="E129" s="174"/>
      <c r="F129" s="174"/>
      <c r="G129" s="174"/>
    </row>
    <row r="130" spans="5:7" ht="12.75">
      <c r="E130" s="174"/>
      <c r="F130" s="174"/>
      <c r="G130" s="174"/>
    </row>
    <row r="131" spans="5:7" ht="12.75">
      <c r="E131" s="174"/>
      <c r="F131" s="174"/>
      <c r="G131" s="174"/>
    </row>
    <row r="132" spans="5:7" ht="12.75">
      <c r="E132" s="174"/>
      <c r="F132" s="174"/>
      <c r="G132" s="174"/>
    </row>
    <row r="133" spans="5:7" ht="12.75">
      <c r="E133" s="174"/>
      <c r="F133" s="174"/>
      <c r="G133" s="174"/>
    </row>
    <row r="134" spans="5:7" ht="12.75">
      <c r="E134" s="174"/>
      <c r="F134" s="174"/>
      <c r="G134" s="174"/>
    </row>
    <row r="135" spans="5:7" ht="12.75">
      <c r="E135" s="174"/>
      <c r="F135" s="174"/>
      <c r="G135" s="174"/>
    </row>
    <row r="136" spans="5:7" ht="12.75">
      <c r="E136" s="174"/>
      <c r="F136" s="174"/>
      <c r="G136" s="174"/>
    </row>
    <row r="137" spans="5:7" ht="12.75">
      <c r="E137" s="174"/>
      <c r="F137" s="174"/>
      <c r="G137" s="174"/>
    </row>
    <row r="138" spans="5:7" ht="12.75">
      <c r="E138" s="174"/>
      <c r="F138" s="174"/>
      <c r="G138" s="174"/>
    </row>
  </sheetData>
  <printOptions horizontalCentered="1"/>
  <pageMargins left="0.5" right="0.5" top="0.75" bottom="0.5" header="0.25" footer="0"/>
  <pageSetup fitToHeight="2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B2">
      <selection activeCell="F45" sqref="F45"/>
    </sheetView>
  </sheetViews>
  <sheetFormatPr defaultColWidth="9.140625" defaultRowHeight="12.75"/>
  <cols>
    <col min="1" max="1" width="146.421875" style="273" hidden="1" customWidth="1"/>
    <col min="2" max="2" width="75.00390625" style="273" customWidth="1"/>
    <col min="3" max="8" width="21.28125" style="274" customWidth="1"/>
    <col min="9" max="9" width="15.28125" style="273" hidden="1" customWidth="1"/>
    <col min="10" max="15" width="0" style="273" hidden="1" customWidth="1"/>
    <col min="16" max="16" width="13.7109375" style="273" customWidth="1"/>
    <col min="17" max="16384" width="10.28125" style="273" customWidth="1"/>
  </cols>
  <sheetData>
    <row r="1" spans="1:6" ht="12" hidden="1">
      <c r="A1" s="273" t="s">
        <v>2593</v>
      </c>
      <c r="C1" s="274" t="s">
        <v>2594</v>
      </c>
      <c r="D1" s="274" t="s">
        <v>2595</v>
      </c>
      <c r="E1" s="274" t="s">
        <v>2596</v>
      </c>
      <c r="F1" s="274" t="s">
        <v>2792</v>
      </c>
    </row>
    <row r="2" spans="2:18" s="275" customFormat="1" ht="15.75" customHeight="1">
      <c r="B2" s="276" t="str">
        <f>"University of Missouri - "&amp;RBN</f>
        <v>University of Missouri - Rolla</v>
      </c>
      <c r="C2" s="277"/>
      <c r="D2" s="277"/>
      <c r="E2" s="277"/>
      <c r="F2" s="277"/>
      <c r="G2" s="277"/>
      <c r="H2" s="278"/>
      <c r="M2" s="279" t="s">
        <v>2597</v>
      </c>
      <c r="P2" s="280" t="s">
        <v>2598</v>
      </c>
      <c r="R2" s="279" t="s">
        <v>118</v>
      </c>
    </row>
    <row r="3" spans="2:16" s="275" customFormat="1" ht="15.75" customHeight="1">
      <c r="B3" s="281" t="s">
        <v>2599</v>
      </c>
      <c r="C3" s="282"/>
      <c r="D3" s="283"/>
      <c r="E3" s="282"/>
      <c r="F3" s="282"/>
      <c r="G3" s="282"/>
      <c r="H3" s="284"/>
      <c r="M3" s="279" t="s">
        <v>2600</v>
      </c>
      <c r="P3" s="285">
        <f ca="1">NOW()</f>
        <v>39184.46285185185</v>
      </c>
    </row>
    <row r="4" spans="2:16" ht="15.75" customHeight="1">
      <c r="B4" s="286" t="str">
        <f>"For the Year Ending "&amp;TEXT(M4,"MMMM DD, YYYY")</f>
        <v>For the Year Ending June 30, 2006</v>
      </c>
      <c r="C4" s="287"/>
      <c r="D4" s="288"/>
      <c r="E4" s="287"/>
      <c r="F4" s="287"/>
      <c r="G4" s="287"/>
      <c r="H4" s="289"/>
      <c r="M4" s="290" t="s">
        <v>117</v>
      </c>
      <c r="P4" s="291">
        <f ca="1">NOW()</f>
        <v>39184.46285185185</v>
      </c>
    </row>
    <row r="5" spans="2:9" ht="12.75" customHeight="1">
      <c r="B5" s="292"/>
      <c r="C5" s="293"/>
      <c r="D5" s="294"/>
      <c r="E5" s="293"/>
      <c r="F5" s="293"/>
      <c r="G5" s="293"/>
      <c r="H5" s="295"/>
      <c r="I5" s="296"/>
    </row>
    <row r="6" spans="2:8" ht="38.25" customHeight="1">
      <c r="B6" s="297"/>
      <c r="C6" s="298" t="s">
        <v>2601</v>
      </c>
      <c r="D6" s="299" t="s">
        <v>2838</v>
      </c>
      <c r="E6" s="300" t="s">
        <v>2839</v>
      </c>
      <c r="F6" s="300" t="s">
        <v>2840</v>
      </c>
      <c r="G6" s="300" t="s">
        <v>2772</v>
      </c>
      <c r="H6" s="299" t="s">
        <v>122</v>
      </c>
    </row>
    <row r="7" spans="2:8" ht="12.75" customHeight="1">
      <c r="B7" s="297"/>
      <c r="C7" s="301"/>
      <c r="D7" s="302"/>
      <c r="E7" s="300"/>
      <c r="F7" s="300"/>
      <c r="G7" s="300"/>
      <c r="H7" s="302"/>
    </row>
    <row r="8" spans="2:8" ht="12.75" customHeight="1">
      <c r="B8" s="303" t="s">
        <v>2602</v>
      </c>
      <c r="C8" s="304"/>
      <c r="D8" s="305"/>
      <c r="E8" s="306"/>
      <c r="F8" s="307" t="s">
        <v>2603</v>
      </c>
      <c r="G8" s="306"/>
      <c r="H8" s="308"/>
    </row>
    <row r="9" spans="2:8" ht="12.75" customHeight="1">
      <c r="B9" s="297"/>
      <c r="C9" s="309"/>
      <c r="D9" s="308"/>
      <c r="E9" s="308"/>
      <c r="F9" s="308"/>
      <c r="G9" s="308"/>
      <c r="H9" s="308"/>
    </row>
    <row r="10" spans="2:8" ht="12.75" customHeight="1">
      <c r="B10" s="297" t="s">
        <v>2604</v>
      </c>
      <c r="C10" s="310">
        <v>35616633.889</v>
      </c>
      <c r="D10" s="311">
        <v>8604590.286</v>
      </c>
      <c r="E10" s="311">
        <v>8391388.99</v>
      </c>
      <c r="F10" s="311">
        <v>0</v>
      </c>
      <c r="G10" s="311">
        <v>0</v>
      </c>
      <c r="H10" s="311">
        <f>C10+D10+E10+F10+G10</f>
        <v>52612613.165</v>
      </c>
    </row>
    <row r="11" spans="2:8" ht="12.75" customHeight="1">
      <c r="B11" s="297"/>
      <c r="C11" s="312"/>
      <c r="D11" s="313"/>
      <c r="E11" s="313"/>
      <c r="F11" s="313"/>
      <c r="G11" s="313"/>
      <c r="H11" s="313"/>
    </row>
    <row r="12" spans="2:8" ht="12.75" customHeight="1">
      <c r="B12" s="297" t="s">
        <v>2605</v>
      </c>
      <c r="C12" s="312">
        <v>15895196.286</v>
      </c>
      <c r="D12" s="313">
        <v>2631019.931</v>
      </c>
      <c r="E12" s="313">
        <v>12482618.86</v>
      </c>
      <c r="F12" s="313">
        <v>0</v>
      </c>
      <c r="G12" s="313">
        <v>0</v>
      </c>
      <c r="H12" s="313">
        <f>C12+D12+E12+F12+G12</f>
        <v>31008835.077</v>
      </c>
    </row>
    <row r="13" spans="2:8" ht="12.75" customHeight="1">
      <c r="B13" s="297"/>
      <c r="C13" s="312"/>
      <c r="D13" s="313"/>
      <c r="E13" s="313"/>
      <c r="F13" s="313"/>
      <c r="G13" s="313"/>
      <c r="H13" s="313"/>
    </row>
    <row r="14" spans="2:8" ht="12.75" customHeight="1">
      <c r="B14" s="297" t="s">
        <v>2606</v>
      </c>
      <c r="C14" s="312">
        <v>935191.411</v>
      </c>
      <c r="D14" s="313">
        <v>221670.216</v>
      </c>
      <c r="E14" s="313">
        <v>1284439.99</v>
      </c>
      <c r="F14" s="313">
        <v>0</v>
      </c>
      <c r="G14" s="313">
        <v>0</v>
      </c>
      <c r="H14" s="313">
        <f>C14+D14+E14+F14+G14</f>
        <v>2441301.6169999996</v>
      </c>
    </row>
    <row r="15" spans="2:8" ht="12.75" customHeight="1">
      <c r="B15" s="297"/>
      <c r="C15" s="312"/>
      <c r="D15" s="313"/>
      <c r="E15" s="313"/>
      <c r="F15" s="313"/>
      <c r="G15" s="313"/>
      <c r="H15" s="313"/>
    </row>
    <row r="16" spans="2:8" ht="12.75" customHeight="1">
      <c r="B16" s="297" t="s">
        <v>2607</v>
      </c>
      <c r="C16" s="312">
        <v>3991393.831</v>
      </c>
      <c r="D16" s="313">
        <v>1003119.346</v>
      </c>
      <c r="E16" s="313">
        <v>2528859.05</v>
      </c>
      <c r="F16" s="313">
        <v>0</v>
      </c>
      <c r="G16" s="313">
        <v>0</v>
      </c>
      <c r="H16" s="313">
        <f>C16+D16+E16+F16+G16</f>
        <v>7523372.227</v>
      </c>
    </row>
    <row r="17" spans="2:8" ht="12.75" customHeight="1">
      <c r="B17" s="297"/>
      <c r="C17" s="312"/>
      <c r="D17" s="313"/>
      <c r="E17" s="313"/>
      <c r="F17" s="313"/>
      <c r="G17" s="313"/>
      <c r="H17" s="313"/>
    </row>
    <row r="18" spans="2:8" ht="12.75" customHeight="1">
      <c r="B18" s="297" t="s">
        <v>2608</v>
      </c>
      <c r="C18" s="312">
        <v>5356509.184</v>
      </c>
      <c r="D18" s="313">
        <v>1306855.749</v>
      </c>
      <c r="E18" s="313">
        <v>2657031.48</v>
      </c>
      <c r="F18" s="313">
        <v>0</v>
      </c>
      <c r="G18" s="313">
        <v>0</v>
      </c>
      <c r="H18" s="313">
        <f>C18+D18+E18+F18+G18</f>
        <v>9320396.413</v>
      </c>
    </row>
    <row r="19" spans="2:8" ht="12.75" customHeight="1">
      <c r="B19" s="297"/>
      <c r="C19" s="312"/>
      <c r="D19" s="313"/>
      <c r="E19" s="313"/>
      <c r="F19" s="313"/>
      <c r="G19" s="313"/>
      <c r="H19" s="313"/>
    </row>
    <row r="20" spans="2:8" ht="12.75" customHeight="1">
      <c r="B20" s="297" t="s">
        <v>2609</v>
      </c>
      <c r="C20" s="312">
        <v>5921644.177</v>
      </c>
      <c r="D20" s="313">
        <v>1618986.327</v>
      </c>
      <c r="E20" s="313">
        <v>1447186.94</v>
      </c>
      <c r="F20" s="313">
        <v>0</v>
      </c>
      <c r="G20" s="313">
        <v>0</v>
      </c>
      <c r="H20" s="313">
        <f>C20+D20+E20+F20+G20</f>
        <v>8987817.444</v>
      </c>
    </row>
    <row r="21" spans="2:8" ht="12.75" customHeight="1">
      <c r="B21" s="297"/>
      <c r="C21" s="312"/>
      <c r="D21" s="313"/>
      <c r="E21" s="313"/>
      <c r="F21" s="313"/>
      <c r="G21" s="313"/>
      <c r="H21" s="313"/>
    </row>
    <row r="22" spans="2:8" ht="12.75" customHeight="1">
      <c r="B22" s="297" t="s">
        <v>2610</v>
      </c>
      <c r="C22" s="312">
        <v>4365587.23</v>
      </c>
      <c r="D22" s="313">
        <v>1225939.103</v>
      </c>
      <c r="E22" s="313">
        <v>4771089.97</v>
      </c>
      <c r="F22" s="313">
        <v>0</v>
      </c>
      <c r="G22" s="313">
        <v>0</v>
      </c>
      <c r="H22" s="313">
        <f>C22+D22+E22+F22+G22</f>
        <v>10362616.303</v>
      </c>
    </row>
    <row r="23" spans="2:8" ht="12.75" customHeight="1">
      <c r="B23" s="297" t="s">
        <v>2611</v>
      </c>
      <c r="C23" s="312"/>
      <c r="D23" s="313"/>
      <c r="E23" s="313"/>
      <c r="F23" s="313"/>
      <c r="G23" s="313"/>
      <c r="H23" s="313"/>
    </row>
    <row r="24" spans="1:8" ht="12.75" customHeight="1">
      <c r="A24" s="273" t="s">
        <v>2792</v>
      </c>
      <c r="B24" s="297" t="s">
        <v>2612</v>
      </c>
      <c r="C24" s="312">
        <v>0</v>
      </c>
      <c r="D24" s="313">
        <v>0</v>
      </c>
      <c r="E24" s="313">
        <v>0</v>
      </c>
      <c r="F24" s="313">
        <v>4741000</v>
      </c>
      <c r="G24" s="313">
        <v>0</v>
      </c>
      <c r="H24" s="313">
        <f>C24+D24+E24+F24+G24</f>
        <v>4741000</v>
      </c>
    </row>
    <row r="25" spans="2:8" ht="12.75" customHeight="1">
      <c r="B25" s="297"/>
      <c r="C25" s="312"/>
      <c r="D25" s="313"/>
      <c r="E25" s="313"/>
      <c r="F25" s="313"/>
      <c r="G25" s="313"/>
      <c r="H25" s="313"/>
    </row>
    <row r="26" spans="2:8" s="314" customFormat="1" ht="12.75" customHeight="1">
      <c r="B26" s="303" t="s">
        <v>2613</v>
      </c>
      <c r="C26" s="315">
        <f aca="true" t="shared" si="0" ref="C26:H26">+C24+C22+C20+C18+C16+C14+C12+C10</f>
        <v>72082156.008</v>
      </c>
      <c r="D26" s="315">
        <f t="shared" si="0"/>
        <v>16612180.958</v>
      </c>
      <c r="E26" s="315">
        <f t="shared" si="0"/>
        <v>33562615.28</v>
      </c>
      <c r="F26" s="315">
        <f t="shared" si="0"/>
        <v>4741000</v>
      </c>
      <c r="G26" s="315">
        <f t="shared" si="0"/>
        <v>0</v>
      </c>
      <c r="H26" s="315">
        <f t="shared" si="0"/>
        <v>126997952.24599999</v>
      </c>
    </row>
    <row r="27" spans="2:8" ht="12.75" customHeight="1">
      <c r="B27" s="297"/>
      <c r="C27" s="312"/>
      <c r="D27" s="313"/>
      <c r="E27" s="313"/>
      <c r="F27" s="313"/>
      <c r="G27" s="313"/>
      <c r="H27" s="313"/>
    </row>
    <row r="28" spans="2:8" ht="12.75" customHeight="1">
      <c r="B28" s="297" t="s">
        <v>2614</v>
      </c>
      <c r="C28" s="312">
        <v>1762741.128</v>
      </c>
      <c r="D28" s="313">
        <v>392406.448</v>
      </c>
      <c r="E28" s="313">
        <v>5937536.442</v>
      </c>
      <c r="F28" s="313">
        <v>0</v>
      </c>
      <c r="G28" s="313">
        <v>0</v>
      </c>
      <c r="H28" s="313">
        <f>C28+D28+E28+F28+G28</f>
        <v>8092684.017999999</v>
      </c>
    </row>
    <row r="29" spans="2:8" ht="12.75" customHeight="1">
      <c r="B29" s="297"/>
      <c r="C29" s="312"/>
      <c r="D29" s="313"/>
      <c r="E29" s="313"/>
      <c r="F29" s="313"/>
      <c r="G29" s="313"/>
      <c r="H29" s="313"/>
    </row>
    <row r="30" spans="2:8" s="314" customFormat="1" ht="12.75" customHeight="1">
      <c r="B30" s="303" t="s">
        <v>2615</v>
      </c>
      <c r="C30" s="315">
        <f aca="true" t="shared" si="1" ref="C30:H30">C28+C26</f>
        <v>73844897.136</v>
      </c>
      <c r="D30" s="315">
        <f t="shared" si="1"/>
        <v>17004587.406</v>
      </c>
      <c r="E30" s="315">
        <f t="shared" si="1"/>
        <v>39500151.722</v>
      </c>
      <c r="F30" s="315">
        <f t="shared" si="1"/>
        <v>4741000</v>
      </c>
      <c r="G30" s="315">
        <f t="shared" si="1"/>
        <v>0</v>
      </c>
      <c r="H30" s="315">
        <f t="shared" si="1"/>
        <v>135090636.264</v>
      </c>
    </row>
    <row r="31" spans="2:8" ht="12.75" customHeight="1">
      <c r="B31" s="297"/>
      <c r="C31" s="312"/>
      <c r="D31" s="313"/>
      <c r="E31" s="313"/>
      <c r="F31" s="313"/>
      <c r="G31" s="313"/>
      <c r="H31" s="313"/>
    </row>
    <row r="32" spans="2:8" s="314" customFormat="1" ht="12.75" customHeight="1">
      <c r="B32" s="303" t="s">
        <v>2616</v>
      </c>
      <c r="C32" s="316">
        <v>0</v>
      </c>
      <c r="D32" s="316">
        <v>0</v>
      </c>
      <c r="E32" s="316">
        <v>52610.18</v>
      </c>
      <c r="F32" s="316">
        <v>0</v>
      </c>
      <c r="G32" s="316">
        <v>0</v>
      </c>
      <c r="H32" s="316">
        <f>C32+D32+E32+F32+G32</f>
        <v>52610.18</v>
      </c>
    </row>
    <row r="33" spans="2:8" s="314" customFormat="1" ht="12.75" customHeight="1">
      <c r="B33" s="303"/>
      <c r="C33" s="316"/>
      <c r="D33" s="316"/>
      <c r="E33" s="316"/>
      <c r="F33" s="316"/>
      <c r="G33" s="316"/>
      <c r="H33" s="316"/>
    </row>
    <row r="34" spans="2:8" s="314" customFormat="1" ht="12.75" customHeight="1">
      <c r="B34" s="303" t="s">
        <v>2617</v>
      </c>
      <c r="C34" s="316">
        <v>0</v>
      </c>
      <c r="D34" s="316">
        <v>0</v>
      </c>
      <c r="E34" s="316">
        <v>9434.68</v>
      </c>
      <c r="F34" s="316">
        <v>0</v>
      </c>
      <c r="G34" s="316">
        <v>0</v>
      </c>
      <c r="H34" s="316">
        <f>C34+D34+E34+F34+G34</f>
        <v>9434.68</v>
      </c>
    </row>
    <row r="35" spans="2:8" s="314" customFormat="1" ht="12.75" customHeight="1">
      <c r="B35" s="303"/>
      <c r="C35" s="316"/>
      <c r="D35" s="316"/>
      <c r="E35" s="316"/>
      <c r="F35" s="316"/>
      <c r="G35" s="316"/>
      <c r="H35" s="316"/>
    </row>
    <row r="36" spans="2:8" s="314" customFormat="1" ht="12.75" customHeight="1">
      <c r="B36" s="303" t="s">
        <v>2618</v>
      </c>
      <c r="C36" s="316">
        <v>0</v>
      </c>
      <c r="D36" s="316">
        <v>0</v>
      </c>
      <c r="E36" s="316">
        <v>-6844519.36</v>
      </c>
      <c r="F36" s="316">
        <v>0</v>
      </c>
      <c r="G36" s="316">
        <v>0</v>
      </c>
      <c r="H36" s="316">
        <f>C36+D36+E36+F36+G36</f>
        <v>-6844519.36</v>
      </c>
    </row>
    <row r="37" spans="2:8" s="314" customFormat="1" ht="12.75" customHeight="1">
      <c r="B37" s="303"/>
      <c r="C37" s="316"/>
      <c r="D37" s="316"/>
      <c r="E37" s="316"/>
      <c r="F37" s="316"/>
      <c r="G37" s="316"/>
      <c r="H37" s="316"/>
    </row>
    <row r="38" spans="2:8" s="314" customFormat="1" ht="12.75" customHeight="1">
      <c r="B38" s="303" t="s">
        <v>2772</v>
      </c>
      <c r="C38" s="316">
        <v>0</v>
      </c>
      <c r="D38" s="316">
        <v>0</v>
      </c>
      <c r="E38" s="316">
        <v>0</v>
      </c>
      <c r="F38" s="316">
        <v>0</v>
      </c>
      <c r="G38" s="316">
        <v>8215181.93</v>
      </c>
      <c r="H38" s="316">
        <f>C38+D38+E38+F38+G38</f>
        <v>8215181.93</v>
      </c>
    </row>
    <row r="39" spans="2:8" ht="12.75" customHeight="1">
      <c r="B39" s="297"/>
      <c r="C39" s="313"/>
      <c r="D39" s="313"/>
      <c r="E39" s="313"/>
      <c r="F39" s="313"/>
      <c r="G39" s="313"/>
      <c r="H39" s="313"/>
    </row>
    <row r="40" spans="2:8" s="314" customFormat="1" ht="12.75" customHeight="1">
      <c r="B40" s="303" t="s">
        <v>2619</v>
      </c>
      <c r="C40" s="317">
        <f aca="true" t="shared" si="2" ref="C40:H40">C30+C32+C34+C36+C38</f>
        <v>73844897.136</v>
      </c>
      <c r="D40" s="317">
        <f t="shared" si="2"/>
        <v>17004587.406</v>
      </c>
      <c r="E40" s="317">
        <f t="shared" si="2"/>
        <v>32717677.222000003</v>
      </c>
      <c r="F40" s="317">
        <f t="shared" si="2"/>
        <v>4741000</v>
      </c>
      <c r="G40" s="317">
        <f t="shared" si="2"/>
        <v>8215181.93</v>
      </c>
      <c r="H40" s="317">
        <f t="shared" si="2"/>
        <v>136523343.694</v>
      </c>
    </row>
    <row r="41" spans="2:8" ht="12.75">
      <c r="B41" s="318"/>
      <c r="C41" s="319"/>
      <c r="D41" s="319"/>
      <c r="E41" s="319"/>
      <c r="F41" s="319"/>
      <c r="G41" s="319"/>
      <c r="H41" s="319"/>
    </row>
    <row r="42" spans="2:8" ht="12.75">
      <c r="B42" s="318" t="s">
        <v>2620</v>
      </c>
      <c r="C42" s="319"/>
      <c r="D42" s="319"/>
      <c r="E42" s="319"/>
      <c r="F42" s="319"/>
      <c r="G42" s="319"/>
      <c r="H42" s="319"/>
    </row>
    <row r="43" spans="2:8" ht="12.75">
      <c r="B43" s="318" t="s">
        <v>2621</v>
      </c>
      <c r="C43" s="319"/>
      <c r="D43" s="319"/>
      <c r="E43" s="319"/>
      <c r="F43" s="319"/>
      <c r="G43" s="319"/>
      <c r="H43" s="319"/>
    </row>
    <row r="44" spans="2:8" ht="7.5" customHeight="1">
      <c r="B44" s="318"/>
      <c r="C44" s="319"/>
      <c r="D44" s="319"/>
      <c r="E44" s="319"/>
      <c r="F44" s="319"/>
      <c r="G44" s="319"/>
      <c r="H44" s="319"/>
    </row>
    <row r="45" spans="2:8" ht="12.75">
      <c r="B45" s="318" t="s">
        <v>2622</v>
      </c>
      <c r="C45" s="319"/>
      <c r="D45" s="319"/>
      <c r="E45" s="319"/>
      <c r="F45" s="319"/>
      <c r="G45" s="319"/>
      <c r="H45" s="319"/>
    </row>
    <row r="46" ht="7.5" customHeight="1"/>
    <row r="47" spans="1:18" ht="12.75">
      <c r="A47" s="320"/>
      <c r="B47" s="321" t="s">
        <v>2623</v>
      </c>
      <c r="C47" s="322"/>
      <c r="D47" s="322"/>
      <c r="E47" s="322"/>
      <c r="F47" s="322"/>
      <c r="G47" s="322"/>
      <c r="H47" s="322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ht="7.5" customHeight="1"/>
    <row r="49" spans="1:18" ht="12.75">
      <c r="A49" s="320"/>
      <c r="B49" s="321" t="s">
        <v>2624</v>
      </c>
      <c r="C49" s="322"/>
      <c r="D49" s="322"/>
      <c r="E49" s="322"/>
      <c r="F49" s="322"/>
      <c r="G49" s="322"/>
      <c r="H49" s="322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ht="7.5" customHeight="1"/>
    <row r="51" spans="1:18" ht="12.75">
      <c r="A51" s="320"/>
      <c r="B51" s="321" t="s">
        <v>2625</v>
      </c>
      <c r="C51" s="322"/>
      <c r="D51" s="322"/>
      <c r="E51" s="322"/>
      <c r="F51" s="322"/>
      <c r="G51" s="322"/>
      <c r="H51" s="322"/>
      <c r="I51" s="320"/>
      <c r="J51" s="320"/>
      <c r="K51" s="320"/>
      <c r="L51" s="320"/>
      <c r="M51" s="320"/>
      <c r="N51" s="320"/>
      <c r="O51" s="320"/>
      <c r="P51" s="320"/>
      <c r="Q51" s="320"/>
      <c r="R51" s="320"/>
    </row>
    <row r="52" ht="7.5" customHeight="1"/>
    <row r="53" spans="1:18" ht="12.75">
      <c r="A53" s="320"/>
      <c r="B53" s="321" t="s">
        <v>2626</v>
      </c>
      <c r="C53" s="322"/>
      <c r="D53" s="322"/>
      <c r="E53" s="322"/>
      <c r="F53" s="322"/>
      <c r="G53" s="322"/>
      <c r="H53" s="322"/>
      <c r="I53" s="320"/>
      <c r="J53" s="320"/>
      <c r="K53" s="320"/>
      <c r="L53" s="320"/>
      <c r="M53" s="320"/>
      <c r="N53" s="320"/>
      <c r="O53" s="320"/>
      <c r="P53" s="320"/>
      <c r="Q53" s="320"/>
      <c r="R53" s="320"/>
    </row>
    <row r="54" ht="7.5" customHeight="1"/>
    <row r="55" spans="1:18" ht="12.75">
      <c r="A55" s="320"/>
      <c r="B55" s="321" t="s">
        <v>2627</v>
      </c>
      <c r="C55" s="322"/>
      <c r="D55" s="322"/>
      <c r="E55" s="322"/>
      <c r="F55" s="322"/>
      <c r="G55" s="322"/>
      <c r="H55" s="322"/>
      <c r="I55" s="320"/>
      <c r="J55" s="320"/>
      <c r="K55" s="320"/>
      <c r="L55" s="320"/>
      <c r="M55" s="320"/>
      <c r="N55" s="320"/>
      <c r="O55" s="320"/>
      <c r="P55" s="320"/>
      <c r="Q55" s="320"/>
      <c r="R55" s="320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workbookViewId="0" topLeftCell="B2">
      <selection activeCell="B30" sqref="A30:IV34"/>
    </sheetView>
  </sheetViews>
  <sheetFormatPr defaultColWidth="9.140625" defaultRowHeight="12.75" outlineLevelRow="1"/>
  <cols>
    <col min="1" max="1" width="0" style="323" hidden="1" customWidth="1"/>
    <col min="2" max="2" width="2.57421875" style="328" customWidth="1"/>
    <col min="3" max="3" width="75.00390625" style="370" hidden="1" customWidth="1"/>
    <col min="4" max="4" width="63.8515625" style="371" customWidth="1"/>
    <col min="5" max="9" width="21.28125" style="327" customWidth="1"/>
    <col min="10" max="10" width="13.421875" style="323" customWidth="1"/>
    <col min="11" max="16384" width="10.28125" style="323" customWidth="1"/>
  </cols>
  <sheetData>
    <row r="1" spans="1:9" ht="204" hidden="1">
      <c r="A1" s="323" t="s">
        <v>2593</v>
      </c>
      <c r="B1" s="324" t="s">
        <v>2794</v>
      </c>
      <c r="C1" s="325" t="s">
        <v>2793</v>
      </c>
      <c r="D1" s="326" t="s">
        <v>2794</v>
      </c>
      <c r="E1" s="327" t="s">
        <v>2628</v>
      </c>
      <c r="F1" s="327" t="s">
        <v>2629</v>
      </c>
      <c r="G1" s="327" t="s">
        <v>2630</v>
      </c>
      <c r="H1" s="327" t="s">
        <v>2631</v>
      </c>
      <c r="I1" s="327" t="s">
        <v>2794</v>
      </c>
    </row>
    <row r="2" spans="1:13" ht="15.75" customHeight="1">
      <c r="A2" s="328"/>
      <c r="B2" s="329" t="str">
        <f>"University of Missouri - "&amp;RBN</f>
        <v>University of Missouri - Rolla</v>
      </c>
      <c r="C2" s="330"/>
      <c r="D2" s="330"/>
      <c r="E2" s="331"/>
      <c r="F2" s="331"/>
      <c r="G2" s="331"/>
      <c r="H2" s="331"/>
      <c r="I2" s="331"/>
      <c r="J2" s="332" t="s">
        <v>2598</v>
      </c>
      <c r="K2" s="333" t="s">
        <v>118</v>
      </c>
      <c r="M2" s="333" t="s">
        <v>2597</v>
      </c>
    </row>
    <row r="3" spans="1:13" ht="15.75" customHeight="1">
      <c r="A3" s="328"/>
      <c r="B3" s="334" t="s">
        <v>2632</v>
      </c>
      <c r="C3" s="335"/>
      <c r="D3" s="335"/>
      <c r="E3" s="331"/>
      <c r="F3" s="331"/>
      <c r="G3" s="331"/>
      <c r="H3" s="331"/>
      <c r="I3" s="331"/>
      <c r="J3" s="336">
        <f ca="1">NOW()</f>
        <v>39184.46285185185</v>
      </c>
      <c r="K3" s="333" t="s">
        <v>2633</v>
      </c>
      <c r="M3" s="333" t="s">
        <v>2633</v>
      </c>
    </row>
    <row r="4" spans="1:13" ht="15.75" customHeight="1">
      <c r="A4" s="328"/>
      <c r="B4" s="337" t="str">
        <f>"As of "&amp;TEXT(K4,"MMMM DD, YYYY")</f>
        <v>As of June 30, 2006</v>
      </c>
      <c r="C4" s="338"/>
      <c r="D4" s="338"/>
      <c r="E4" s="331"/>
      <c r="F4" s="331"/>
      <c r="G4" s="331"/>
      <c r="H4" s="331"/>
      <c r="I4" s="331"/>
      <c r="J4" s="339">
        <f ca="1">NOW()</f>
        <v>39184.46285185185</v>
      </c>
      <c r="K4" s="333" t="s">
        <v>117</v>
      </c>
      <c r="M4" s="333" t="s">
        <v>117</v>
      </c>
    </row>
    <row r="5" spans="1:13" ht="12.75" customHeight="1">
      <c r="A5" s="328"/>
      <c r="B5" s="340"/>
      <c r="C5" s="341"/>
      <c r="D5" s="341"/>
      <c r="E5" s="331"/>
      <c r="F5" s="331"/>
      <c r="G5" s="331"/>
      <c r="H5" s="331"/>
      <c r="I5" s="331"/>
      <c r="J5" s="342"/>
      <c r="K5" s="333" t="s">
        <v>2634</v>
      </c>
      <c r="M5" s="333" t="s">
        <v>2634</v>
      </c>
    </row>
    <row r="6" spans="1:9" ht="12.75">
      <c r="A6" s="343"/>
      <c r="B6" s="344"/>
      <c r="C6" s="345"/>
      <c r="D6" s="346"/>
      <c r="E6" s="347"/>
      <c r="F6" s="347"/>
      <c r="G6" s="347"/>
      <c r="H6" s="347" t="s">
        <v>2635</v>
      </c>
      <c r="I6" s="347"/>
    </row>
    <row r="7" spans="1:9" ht="12.75">
      <c r="A7" s="348"/>
      <c r="B7" s="349"/>
      <c r="C7" s="350"/>
      <c r="D7" s="351"/>
      <c r="E7" s="352"/>
      <c r="F7" s="352"/>
      <c r="G7" s="352"/>
      <c r="H7" s="352" t="s">
        <v>2636</v>
      </c>
      <c r="I7" s="352"/>
    </row>
    <row r="8" spans="1:9" ht="12" customHeight="1">
      <c r="A8" s="348"/>
      <c r="B8" s="349"/>
      <c r="C8" s="350"/>
      <c r="D8" s="351"/>
      <c r="E8" s="352" t="s">
        <v>2822</v>
      </c>
      <c r="F8" s="352"/>
      <c r="G8" s="352"/>
      <c r="H8" s="352" t="s">
        <v>2637</v>
      </c>
      <c r="I8" s="353" t="s">
        <v>2638</v>
      </c>
    </row>
    <row r="9" spans="1:9" ht="12.75">
      <c r="A9" s="348"/>
      <c r="B9" s="354"/>
      <c r="C9" s="355"/>
      <c r="D9" s="356"/>
      <c r="E9" s="357" t="str">
        <f>"July 1, "&amp;(M5-1)</f>
        <v>July 1, 2005</v>
      </c>
      <c r="F9" s="358" t="s">
        <v>2639</v>
      </c>
      <c r="G9" s="358" t="s">
        <v>2640</v>
      </c>
      <c r="H9" s="358" t="s">
        <v>2641</v>
      </c>
      <c r="I9" s="359" t="str">
        <f>TEXT(M4,"MMMM DD, YYYY")</f>
        <v>June 30, 2006</v>
      </c>
    </row>
    <row r="10" spans="1:6" ht="12.75">
      <c r="A10" s="328"/>
      <c r="B10" s="348" t="s">
        <v>2642</v>
      </c>
      <c r="C10" s="360"/>
      <c r="D10" s="361"/>
      <c r="E10" s="362"/>
      <c r="F10" s="363"/>
    </row>
    <row r="11" spans="1:9" ht="12.75" outlineLevel="1">
      <c r="A11" s="323" t="s">
        <v>2643</v>
      </c>
      <c r="B11" s="324"/>
      <c r="C11" s="325" t="s">
        <v>2644</v>
      </c>
      <c r="D11" s="326" t="str">
        <f aca="true" t="shared" si="0" ref="D11:D17">C11</f>
        <v>Intercoll Athletics Auxiliary</v>
      </c>
      <c r="E11" s="364">
        <v>29865.55</v>
      </c>
      <c r="F11" s="364">
        <v>472352.3</v>
      </c>
      <c r="G11" s="364">
        <v>801547.78</v>
      </c>
      <c r="H11" s="364">
        <v>306075.28</v>
      </c>
      <c r="I11" s="364">
        <f aca="true" t="shared" si="1" ref="I11:I17">E11+F11-G11+H11</f>
        <v>6745.349999999977</v>
      </c>
    </row>
    <row r="12" spans="1:9" ht="12.75" outlineLevel="1">
      <c r="A12" s="323" t="s">
        <v>2645</v>
      </c>
      <c r="B12" s="324"/>
      <c r="C12" s="325" t="s">
        <v>2646</v>
      </c>
      <c r="D12" s="326" t="str">
        <f t="shared" si="0"/>
        <v>Housing</v>
      </c>
      <c r="E12" s="327">
        <v>690424.763</v>
      </c>
      <c r="F12" s="327">
        <v>7691945.88</v>
      </c>
      <c r="G12" s="327">
        <v>6097478.293000001</v>
      </c>
      <c r="H12" s="327">
        <v>-2130806.62</v>
      </c>
      <c r="I12" s="327">
        <f t="shared" si="1"/>
        <v>154085.72999999858</v>
      </c>
    </row>
    <row r="13" spans="1:9" ht="12.75" outlineLevel="1">
      <c r="A13" s="323" t="s">
        <v>2647</v>
      </c>
      <c r="B13" s="324"/>
      <c r="C13" s="325" t="s">
        <v>2648</v>
      </c>
      <c r="D13" s="326" t="str">
        <f t="shared" si="0"/>
        <v>Parking</v>
      </c>
      <c r="E13" s="327">
        <v>133956.1</v>
      </c>
      <c r="F13" s="327">
        <v>329165.82</v>
      </c>
      <c r="G13" s="327">
        <v>241749.19</v>
      </c>
      <c r="H13" s="327">
        <v>8023.94</v>
      </c>
      <c r="I13" s="327">
        <f t="shared" si="1"/>
        <v>229396.67000000004</v>
      </c>
    </row>
    <row r="14" spans="1:9" ht="12.75" outlineLevel="1">
      <c r="A14" s="323" t="s">
        <v>2649</v>
      </c>
      <c r="B14" s="324"/>
      <c r="C14" s="325" t="s">
        <v>2650</v>
      </c>
      <c r="D14" s="326" t="str">
        <f t="shared" si="0"/>
        <v>University Centers</v>
      </c>
      <c r="E14" s="327">
        <v>1167170.05</v>
      </c>
      <c r="F14" s="327">
        <v>1831606.48</v>
      </c>
      <c r="G14" s="327">
        <v>769082.01</v>
      </c>
      <c r="H14" s="327">
        <v>-838858.78</v>
      </c>
      <c r="I14" s="327">
        <f t="shared" si="1"/>
        <v>1390835.7400000005</v>
      </c>
    </row>
    <row r="15" spans="1:9" ht="12.75" outlineLevel="1">
      <c r="A15" s="323" t="s">
        <v>2651</v>
      </c>
      <c r="B15" s="324"/>
      <c r="C15" s="325" t="s">
        <v>2652</v>
      </c>
      <c r="D15" s="326" t="str">
        <f t="shared" si="0"/>
        <v>Other Student Auxiliaries</v>
      </c>
      <c r="E15" s="327">
        <v>208102.75</v>
      </c>
      <c r="F15" s="327">
        <v>0</v>
      </c>
      <c r="G15" s="327">
        <v>0</v>
      </c>
      <c r="H15" s="327">
        <v>-208102.75</v>
      </c>
      <c r="I15" s="327">
        <f t="shared" si="1"/>
        <v>0</v>
      </c>
    </row>
    <row r="16" spans="1:9" ht="12.75" outlineLevel="1">
      <c r="A16" s="323" t="s">
        <v>2653</v>
      </c>
      <c r="B16" s="324"/>
      <c r="C16" s="325" t="s">
        <v>2654</v>
      </c>
      <c r="D16" s="326" t="str">
        <f t="shared" si="0"/>
        <v>Golf Course</v>
      </c>
      <c r="E16" s="327">
        <v>-1078.195</v>
      </c>
      <c r="F16" s="327">
        <v>124033.54</v>
      </c>
      <c r="G16" s="327">
        <v>182826.74500000002</v>
      </c>
      <c r="H16" s="327">
        <v>58667.27</v>
      </c>
      <c r="I16" s="327">
        <f t="shared" si="1"/>
        <v>-1204.130000000041</v>
      </c>
    </row>
    <row r="17" spans="1:9" s="343" customFormat="1" ht="12.75">
      <c r="A17" s="348" t="s">
        <v>2655</v>
      </c>
      <c r="B17" s="348"/>
      <c r="C17" s="365" t="s">
        <v>2656</v>
      </c>
      <c r="D17" s="366" t="str">
        <f t="shared" si="0"/>
        <v>      Total Auxiliaries</v>
      </c>
      <c r="E17" s="367">
        <v>2228441.018</v>
      </c>
      <c r="F17" s="368">
        <v>10449104.019999998</v>
      </c>
      <c r="G17" s="369">
        <v>8092684.018</v>
      </c>
      <c r="H17" s="369">
        <v>-2805001.66</v>
      </c>
      <c r="I17" s="369">
        <f t="shared" si="1"/>
        <v>1779859.3599999985</v>
      </c>
    </row>
    <row r="18" spans="1:6" ht="12.75">
      <c r="A18" s="328"/>
      <c r="E18" s="362"/>
      <c r="F18" s="363"/>
    </row>
    <row r="19" spans="1:6" ht="12.75">
      <c r="A19" s="328"/>
      <c r="B19" s="348" t="s">
        <v>2657</v>
      </c>
      <c r="C19" s="360"/>
      <c r="D19" s="361"/>
      <c r="E19" s="362"/>
      <c r="F19" s="363"/>
    </row>
    <row r="20" spans="1:9" ht="12.75" outlineLevel="1">
      <c r="A20" s="323" t="s">
        <v>2209</v>
      </c>
      <c r="B20" s="324"/>
      <c r="C20" s="325" t="s">
        <v>1371</v>
      </c>
      <c r="D20" s="326" t="str">
        <f aca="true" t="shared" si="2" ref="D20:D28">C20</f>
        <v>Building Services</v>
      </c>
      <c r="E20" s="327">
        <v>485779.457</v>
      </c>
      <c r="F20" s="327">
        <v>0</v>
      </c>
      <c r="G20" s="327">
        <v>322073.6970000011</v>
      </c>
      <c r="H20" s="327">
        <v>0</v>
      </c>
      <c r="I20" s="327">
        <f aca="true" t="shared" si="3" ref="I20:I28">E20+F20-G20+H20</f>
        <v>163705.7599999989</v>
      </c>
    </row>
    <row r="21" spans="1:9" ht="12.75" outlineLevel="1">
      <c r="A21" s="323" t="s">
        <v>2210</v>
      </c>
      <c r="B21" s="324"/>
      <c r="C21" s="325" t="s">
        <v>1372</v>
      </c>
      <c r="D21" s="326" t="str">
        <f t="shared" si="2"/>
        <v>Campus Plng, Design, Constr</v>
      </c>
      <c r="E21" s="327">
        <v>245735.048</v>
      </c>
      <c r="F21" s="327">
        <v>4093</v>
      </c>
      <c r="G21" s="327">
        <v>-10411.45199999999</v>
      </c>
      <c r="H21" s="327">
        <v>0</v>
      </c>
      <c r="I21" s="327">
        <f t="shared" si="3"/>
        <v>260239.5</v>
      </c>
    </row>
    <row r="22" spans="1:9" ht="12.75" outlineLevel="1">
      <c r="A22" s="323" t="s">
        <v>2211</v>
      </c>
      <c r="B22" s="324"/>
      <c r="C22" s="325" t="s">
        <v>1373</v>
      </c>
      <c r="D22" s="326" t="str">
        <f t="shared" si="2"/>
        <v>Central Mail</v>
      </c>
      <c r="E22" s="327">
        <v>-4391.729</v>
      </c>
      <c r="F22" s="327">
        <v>39711.05</v>
      </c>
      <c r="G22" s="327">
        <v>31625.720999999998</v>
      </c>
      <c r="H22" s="327">
        <v>-3232.88</v>
      </c>
      <c r="I22" s="327">
        <f t="shared" si="3"/>
        <v>460.7200000000057</v>
      </c>
    </row>
    <row r="23" spans="1:9" ht="12.75" outlineLevel="1">
      <c r="A23" s="323" t="s">
        <v>2212</v>
      </c>
      <c r="B23" s="324"/>
      <c r="C23" s="325" t="s">
        <v>1374</v>
      </c>
      <c r="D23" s="326" t="str">
        <f t="shared" si="2"/>
        <v>Computing Services</v>
      </c>
      <c r="E23" s="327">
        <v>24249.5</v>
      </c>
      <c r="F23" s="327">
        <v>8882.11</v>
      </c>
      <c r="G23" s="327">
        <v>-86678.73</v>
      </c>
      <c r="H23" s="327">
        <v>0</v>
      </c>
      <c r="I23" s="327">
        <f t="shared" si="3"/>
        <v>119810.34</v>
      </c>
    </row>
    <row r="24" spans="1:9" ht="12.75" outlineLevel="1">
      <c r="A24" s="323" t="s">
        <v>2213</v>
      </c>
      <c r="B24" s="324"/>
      <c r="C24" s="325" t="s">
        <v>1375</v>
      </c>
      <c r="D24" s="326" t="str">
        <f t="shared" si="2"/>
        <v>Maint, Grds, Build Serv</v>
      </c>
      <c r="E24" s="327">
        <v>0</v>
      </c>
      <c r="F24" s="327">
        <v>0</v>
      </c>
      <c r="G24" s="327">
        <v>-12277.64</v>
      </c>
      <c r="H24" s="327">
        <v>0</v>
      </c>
      <c r="I24" s="327">
        <f t="shared" si="3"/>
        <v>12277.64</v>
      </c>
    </row>
    <row r="25" spans="1:9" ht="12.75" outlineLevel="1">
      <c r="A25" s="323" t="s">
        <v>2214</v>
      </c>
      <c r="B25" s="324"/>
      <c r="C25" s="325" t="s">
        <v>1376</v>
      </c>
      <c r="D25" s="326" t="str">
        <f t="shared" si="2"/>
        <v>Printing</v>
      </c>
      <c r="E25" s="327">
        <v>-13922.306</v>
      </c>
      <c r="F25" s="327">
        <v>18414.95</v>
      </c>
      <c r="G25" s="327">
        <v>18720.44399999996</v>
      </c>
      <c r="H25" s="327">
        <v>14309.19</v>
      </c>
      <c r="I25" s="327">
        <f t="shared" si="3"/>
        <v>81.39000000004125</v>
      </c>
    </row>
    <row r="26" spans="1:9" ht="12.75" outlineLevel="1">
      <c r="A26" s="323" t="s">
        <v>2215</v>
      </c>
      <c r="B26" s="324"/>
      <c r="C26" s="325" t="s">
        <v>1377</v>
      </c>
      <c r="D26" s="326" t="str">
        <f t="shared" si="2"/>
        <v>Science Instru Shop</v>
      </c>
      <c r="E26" s="327">
        <v>48805.73</v>
      </c>
      <c r="F26" s="327">
        <v>0</v>
      </c>
      <c r="G26" s="327">
        <v>-2236.93</v>
      </c>
      <c r="H26" s="327">
        <v>0</v>
      </c>
      <c r="I26" s="327">
        <f t="shared" si="3"/>
        <v>51042.66</v>
      </c>
    </row>
    <row r="27" spans="1:9" ht="12.75" outlineLevel="1">
      <c r="A27" s="323" t="s">
        <v>2216</v>
      </c>
      <c r="B27" s="324"/>
      <c r="C27" s="325" t="s">
        <v>1378</v>
      </c>
      <c r="D27" s="326" t="str">
        <f t="shared" si="2"/>
        <v>Telecommunications</v>
      </c>
      <c r="E27" s="327">
        <v>224498.222</v>
      </c>
      <c r="F27" s="327">
        <v>0</v>
      </c>
      <c r="G27" s="327">
        <v>100587.86199999982</v>
      </c>
      <c r="H27" s="327">
        <v>0</v>
      </c>
      <c r="I27" s="327">
        <f t="shared" si="3"/>
        <v>123910.36000000019</v>
      </c>
    </row>
    <row r="28" spans="1:9" s="343" customFormat="1" ht="12.75">
      <c r="A28" s="348" t="s">
        <v>2217</v>
      </c>
      <c r="B28" s="348"/>
      <c r="C28" s="365" t="s">
        <v>2658</v>
      </c>
      <c r="D28" s="366" t="str">
        <f t="shared" si="2"/>
        <v>      Total Service Operations</v>
      </c>
      <c r="E28" s="372">
        <v>1010753.922</v>
      </c>
      <c r="F28" s="373">
        <v>71101.11</v>
      </c>
      <c r="G28" s="374">
        <v>361402.97200000304</v>
      </c>
      <c r="H28" s="374">
        <v>11076.31</v>
      </c>
      <c r="I28" s="374">
        <f t="shared" si="3"/>
        <v>731528.3699999971</v>
      </c>
    </row>
    <row r="29" spans="3:4" ht="12.75">
      <c r="C29" s="375"/>
      <c r="D29" s="376"/>
    </row>
    <row r="30" spans="2:4" ht="12.75" hidden="1">
      <c r="B30" s="348" t="s">
        <v>2659</v>
      </c>
      <c r="C30" s="377"/>
      <c r="D30" s="378"/>
    </row>
    <row r="31" spans="1:9" ht="12.75" hidden="1">
      <c r="A31" s="323" t="s">
        <v>102</v>
      </c>
      <c r="B31" s="348" t="s">
        <v>136</v>
      </c>
      <c r="C31" s="360" t="s">
        <v>2660</v>
      </c>
      <c r="D31" s="361"/>
      <c r="E31" s="327">
        <v>-3373.714</v>
      </c>
      <c r="F31" s="327">
        <v>0</v>
      </c>
      <c r="G31" s="327">
        <v>-4286.3240000000005</v>
      </c>
      <c r="H31" s="327">
        <v>-987.74</v>
      </c>
      <c r="I31" s="327">
        <f>E31+F31-G31+H31</f>
        <v>-75.12999999999943</v>
      </c>
    </row>
    <row r="32" spans="1:9" ht="12.75" hidden="1">
      <c r="A32" s="323" t="s">
        <v>2661</v>
      </c>
      <c r="B32" s="348" t="s">
        <v>2662</v>
      </c>
      <c r="C32" s="360" t="s">
        <v>2662</v>
      </c>
      <c r="D32" s="361"/>
      <c r="E32" s="327">
        <v>15590522.316</v>
      </c>
      <c r="F32" s="327">
        <v>44670727.95999999</v>
      </c>
      <c r="G32" s="327">
        <v>92647637.626</v>
      </c>
      <c r="H32" s="327">
        <v>47800208.93</v>
      </c>
      <c r="I32" s="327">
        <f>E32+F32-G32+H32</f>
        <v>15413821.57999999</v>
      </c>
    </row>
    <row r="33" spans="1:9" ht="12.75" hidden="1">
      <c r="A33" s="323" t="s">
        <v>2663</v>
      </c>
      <c r="B33" s="348" t="s">
        <v>2664</v>
      </c>
      <c r="C33" s="360" t="s">
        <v>2665</v>
      </c>
      <c r="D33" s="361"/>
      <c r="E33" s="327">
        <v>0</v>
      </c>
      <c r="F33" s="327">
        <v>0</v>
      </c>
      <c r="G33" s="327">
        <v>0</v>
      </c>
      <c r="H33" s="327">
        <v>0</v>
      </c>
      <c r="I33" s="327">
        <f>E33+F33-G33+H33</f>
        <v>0</v>
      </c>
    </row>
    <row r="34" spans="2:9" ht="12.75" hidden="1">
      <c r="B34" s="379" t="s">
        <v>2666</v>
      </c>
      <c r="C34" s="365" t="s">
        <v>2666</v>
      </c>
      <c r="D34" s="366"/>
      <c r="E34" s="327">
        <f>E17+E28+E31+E32+E33</f>
        <v>18826343.542</v>
      </c>
      <c r="F34" s="327">
        <f>F17+F28+F31+F32+F33</f>
        <v>55190933.08999999</v>
      </c>
      <c r="G34" s="327">
        <f>G17+G28+G31+G32+G33</f>
        <v>101097438.29200001</v>
      </c>
      <c r="H34" s="327">
        <f>H17+H28+H31+H32+H33</f>
        <v>45005295.839999996</v>
      </c>
      <c r="I34" s="327">
        <f>I17+I28+I31+I32+I33</f>
        <v>17925134.179999985</v>
      </c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2007-03-23T18:17:14Z</cp:lastPrinted>
  <dcterms:created xsi:type="dcterms:W3CDTF">2005-02-03T22:48:17Z</dcterms:created>
  <dcterms:modified xsi:type="dcterms:W3CDTF">2007-04-12T16:06:30Z</dcterms:modified>
  <cp:category/>
  <cp:version/>
  <cp:contentType/>
  <cp:contentStatus/>
</cp:coreProperties>
</file>